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dre\Documents\Claude\"/>
    </mc:Choice>
  </mc:AlternateContent>
  <xr:revisionPtr revIDLastSave="0" documentId="13_ncr:1_{5EDE8CC4-CBD4-44F7-9838-B5046129CF40}" xr6:coauthVersionLast="47" xr6:coauthVersionMax="47" xr10:uidLastSave="{00000000-0000-0000-0000-000000000000}"/>
  <bookViews>
    <workbookView xWindow="-98" yWindow="13403" windowWidth="21795" windowHeight="12975" xr2:uid="{00000000-000D-0000-FFFF-FFFF00000000}"/>
  </bookViews>
  <sheets>
    <sheet name="Instructions" sheetId="1" r:id="rId1"/>
    <sheet name="Setup" sheetId="2" r:id="rId2"/>
    <sheet name="Players" sheetId="3" r:id="rId3"/>
    <sheet name="Rounds" sheetId="4" r:id="rId4"/>
    <sheet name="Transport" sheetId="5" r:id="rId5"/>
    <sheet name="Accommodation" sheetId="6" r:id="rId6"/>
    <sheet name="Merchandise" sheetId="7" r:id="rId7"/>
    <sheet name="Prizes" sheetId="8" r:id="rId8"/>
    <sheet name="Competitions" sheetId="9" r:id="rId9"/>
    <sheet name="Incidentals" sheetId="10" r:id="rId10"/>
    <sheet name="Summary" sheetId="11" r:id="rId11"/>
    <sheet name="Payments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2" l="1"/>
  <c r="L46" i="12"/>
  <c r="J46" i="12"/>
  <c r="H46" i="12"/>
  <c r="F46" i="12"/>
  <c r="Q45" i="12"/>
  <c r="O45" i="12"/>
  <c r="E45" i="12"/>
  <c r="D45" i="12"/>
  <c r="C45" i="12"/>
  <c r="B45" i="12"/>
  <c r="A45" i="12"/>
  <c r="Q44" i="12"/>
  <c r="O44" i="12"/>
  <c r="E44" i="12"/>
  <c r="D44" i="12"/>
  <c r="C44" i="12"/>
  <c r="B44" i="12"/>
  <c r="A44" i="12"/>
  <c r="Q43" i="12"/>
  <c r="O43" i="12"/>
  <c r="E43" i="12"/>
  <c r="D43" i="12"/>
  <c r="C43" i="12"/>
  <c r="B43" i="12"/>
  <c r="A43" i="12"/>
  <c r="Q42" i="12"/>
  <c r="O42" i="12"/>
  <c r="E42" i="12"/>
  <c r="D42" i="12"/>
  <c r="C42" i="12"/>
  <c r="B42" i="12"/>
  <c r="A42" i="12"/>
  <c r="Q41" i="12"/>
  <c r="O41" i="12"/>
  <c r="E41" i="12"/>
  <c r="D41" i="12"/>
  <c r="C41" i="12"/>
  <c r="B41" i="12"/>
  <c r="A41" i="12"/>
  <c r="Q40" i="12"/>
  <c r="O40" i="12"/>
  <c r="E40" i="12"/>
  <c r="D40" i="12"/>
  <c r="C40" i="12"/>
  <c r="B40" i="12"/>
  <c r="A40" i="12"/>
  <c r="Q39" i="12"/>
  <c r="O39" i="12"/>
  <c r="E39" i="12"/>
  <c r="D39" i="12"/>
  <c r="C39" i="12"/>
  <c r="B39" i="12"/>
  <c r="A39" i="12"/>
  <c r="Q38" i="12"/>
  <c r="O38" i="12"/>
  <c r="E38" i="12"/>
  <c r="D38" i="12"/>
  <c r="C38" i="12"/>
  <c r="B38" i="12"/>
  <c r="A38" i="12"/>
  <c r="Q37" i="12"/>
  <c r="O37" i="12"/>
  <c r="E37" i="12"/>
  <c r="D37" i="12"/>
  <c r="C37" i="12"/>
  <c r="B37" i="12"/>
  <c r="A37" i="12"/>
  <c r="Q36" i="12"/>
  <c r="O36" i="12"/>
  <c r="E36" i="12"/>
  <c r="D36" i="12"/>
  <c r="C36" i="12"/>
  <c r="B36" i="12"/>
  <c r="A36" i="12"/>
  <c r="Q35" i="12"/>
  <c r="O35" i="12"/>
  <c r="E35" i="12"/>
  <c r="D35" i="12"/>
  <c r="C35" i="12"/>
  <c r="B35" i="12"/>
  <c r="A35" i="12"/>
  <c r="Q34" i="12"/>
  <c r="O34" i="12"/>
  <c r="E34" i="12"/>
  <c r="D34" i="12"/>
  <c r="C34" i="12"/>
  <c r="B34" i="12"/>
  <c r="A34" i="12"/>
  <c r="Q33" i="12"/>
  <c r="O33" i="12"/>
  <c r="E33" i="12"/>
  <c r="D33" i="12"/>
  <c r="C33" i="12"/>
  <c r="B33" i="12"/>
  <c r="A33" i="12"/>
  <c r="Q32" i="12"/>
  <c r="O32" i="12"/>
  <c r="E32" i="12"/>
  <c r="D32" i="12"/>
  <c r="C32" i="12"/>
  <c r="B32" i="12"/>
  <c r="A32" i="12"/>
  <c r="Q31" i="12"/>
  <c r="O31" i="12"/>
  <c r="E31" i="12"/>
  <c r="D31" i="12"/>
  <c r="C31" i="12"/>
  <c r="B31" i="12"/>
  <c r="A31" i="12"/>
  <c r="Q30" i="12"/>
  <c r="O30" i="12"/>
  <c r="E30" i="12"/>
  <c r="D30" i="12"/>
  <c r="C30" i="12"/>
  <c r="B30" i="12"/>
  <c r="A30" i="12"/>
  <c r="Q29" i="12"/>
  <c r="O29" i="12"/>
  <c r="E29" i="12"/>
  <c r="D29" i="12"/>
  <c r="C29" i="12"/>
  <c r="B29" i="12"/>
  <c r="A29" i="12"/>
  <c r="Q28" i="12"/>
  <c r="O28" i="12"/>
  <c r="E28" i="12"/>
  <c r="D28" i="12"/>
  <c r="C28" i="12"/>
  <c r="B28" i="12"/>
  <c r="A28" i="12"/>
  <c r="Q27" i="12"/>
  <c r="O27" i="12"/>
  <c r="E27" i="12"/>
  <c r="D27" i="12"/>
  <c r="C27" i="12"/>
  <c r="B27" i="12"/>
  <c r="A27" i="12"/>
  <c r="Q26" i="12"/>
  <c r="O26" i="12"/>
  <c r="E26" i="12"/>
  <c r="D26" i="12"/>
  <c r="C26" i="12"/>
  <c r="B26" i="12"/>
  <c r="A26" i="12"/>
  <c r="Q25" i="12"/>
  <c r="O25" i="12"/>
  <c r="E25" i="12"/>
  <c r="D25" i="12"/>
  <c r="C25" i="12"/>
  <c r="B25" i="12"/>
  <c r="A25" i="12"/>
  <c r="Q24" i="12"/>
  <c r="O24" i="12"/>
  <c r="E24" i="12"/>
  <c r="D24" i="12"/>
  <c r="C24" i="12"/>
  <c r="B24" i="12"/>
  <c r="A24" i="12"/>
  <c r="Q23" i="12"/>
  <c r="O23" i="12"/>
  <c r="E23" i="12"/>
  <c r="D23" i="12"/>
  <c r="C23" i="12"/>
  <c r="B23" i="12"/>
  <c r="A23" i="12"/>
  <c r="Q22" i="12"/>
  <c r="O22" i="12"/>
  <c r="E22" i="12"/>
  <c r="D22" i="12"/>
  <c r="C22" i="12"/>
  <c r="B22" i="12"/>
  <c r="A22" i="12"/>
  <c r="O21" i="12"/>
  <c r="E21" i="12"/>
  <c r="D21" i="12"/>
  <c r="B21" i="12"/>
  <c r="A21" i="12"/>
  <c r="O20" i="12"/>
  <c r="E20" i="12"/>
  <c r="D20" i="12"/>
  <c r="B20" i="12"/>
  <c r="A20" i="12"/>
  <c r="O19" i="12"/>
  <c r="E19" i="12"/>
  <c r="D19" i="12"/>
  <c r="B19" i="12"/>
  <c r="A19" i="12"/>
  <c r="O18" i="12"/>
  <c r="E18" i="12"/>
  <c r="D18" i="12"/>
  <c r="B18" i="12"/>
  <c r="A18" i="12"/>
  <c r="O17" i="12"/>
  <c r="E17" i="12"/>
  <c r="D17" i="12"/>
  <c r="B17" i="12"/>
  <c r="A17" i="12"/>
  <c r="O16" i="12"/>
  <c r="E16" i="12"/>
  <c r="D16" i="12"/>
  <c r="B16" i="12"/>
  <c r="A16" i="12"/>
  <c r="O15" i="12"/>
  <c r="E15" i="12"/>
  <c r="D15" i="12"/>
  <c r="B15" i="12"/>
  <c r="A15" i="12"/>
  <c r="O14" i="12"/>
  <c r="E14" i="12"/>
  <c r="D14" i="12"/>
  <c r="B14" i="12"/>
  <c r="A14" i="12"/>
  <c r="D11" i="12"/>
  <c r="Q42" i="11"/>
  <c r="O42" i="11"/>
  <c r="N42" i="11"/>
  <c r="L42" i="11"/>
  <c r="K42" i="11"/>
  <c r="J42" i="11"/>
  <c r="B42" i="11"/>
  <c r="A42" i="11"/>
  <c r="Q41" i="11"/>
  <c r="O41" i="11"/>
  <c r="N41" i="11"/>
  <c r="L41" i="11"/>
  <c r="K41" i="11"/>
  <c r="J41" i="11"/>
  <c r="B41" i="11"/>
  <c r="A41" i="11"/>
  <c r="Q40" i="11"/>
  <c r="O40" i="11"/>
  <c r="N40" i="11"/>
  <c r="L40" i="11"/>
  <c r="K40" i="11"/>
  <c r="J40" i="11"/>
  <c r="B40" i="11"/>
  <c r="A40" i="11"/>
  <c r="Q39" i="11"/>
  <c r="O39" i="11"/>
  <c r="N39" i="11"/>
  <c r="L39" i="11"/>
  <c r="K39" i="11"/>
  <c r="J39" i="11"/>
  <c r="B39" i="11"/>
  <c r="A39" i="11"/>
  <c r="Q38" i="11"/>
  <c r="O38" i="11"/>
  <c r="N38" i="11"/>
  <c r="L38" i="11"/>
  <c r="K38" i="11"/>
  <c r="J38" i="11"/>
  <c r="B38" i="11"/>
  <c r="A38" i="11"/>
  <c r="Q37" i="11"/>
  <c r="O37" i="11"/>
  <c r="N37" i="11"/>
  <c r="L37" i="11"/>
  <c r="K37" i="11"/>
  <c r="J37" i="11"/>
  <c r="B37" i="11"/>
  <c r="A37" i="11"/>
  <c r="Q36" i="11"/>
  <c r="O36" i="11"/>
  <c r="N36" i="11"/>
  <c r="L36" i="11"/>
  <c r="K36" i="11"/>
  <c r="J36" i="11"/>
  <c r="B36" i="11"/>
  <c r="A36" i="11"/>
  <c r="Q35" i="11"/>
  <c r="O35" i="11"/>
  <c r="N35" i="11"/>
  <c r="L35" i="11"/>
  <c r="K35" i="11"/>
  <c r="J35" i="11"/>
  <c r="B35" i="11"/>
  <c r="A35" i="11"/>
  <c r="Q34" i="11"/>
  <c r="O34" i="11"/>
  <c r="N34" i="11"/>
  <c r="L34" i="11"/>
  <c r="K34" i="11"/>
  <c r="J34" i="11"/>
  <c r="B34" i="11"/>
  <c r="A34" i="11"/>
  <c r="Q33" i="11"/>
  <c r="O33" i="11"/>
  <c r="N33" i="11"/>
  <c r="L33" i="11"/>
  <c r="K33" i="11"/>
  <c r="J33" i="11"/>
  <c r="B33" i="11"/>
  <c r="A33" i="11"/>
  <c r="Q32" i="11"/>
  <c r="O32" i="11"/>
  <c r="N32" i="11"/>
  <c r="L32" i="11"/>
  <c r="K32" i="11"/>
  <c r="J32" i="11"/>
  <c r="B32" i="11"/>
  <c r="A32" i="11"/>
  <c r="Q31" i="11"/>
  <c r="O31" i="11"/>
  <c r="N31" i="11"/>
  <c r="L31" i="11"/>
  <c r="K31" i="11"/>
  <c r="J31" i="11"/>
  <c r="B31" i="11"/>
  <c r="A31" i="11"/>
  <c r="Q30" i="11"/>
  <c r="O30" i="11"/>
  <c r="N30" i="11"/>
  <c r="L30" i="11"/>
  <c r="K30" i="11"/>
  <c r="J30" i="11"/>
  <c r="B30" i="11"/>
  <c r="A30" i="11"/>
  <c r="Q29" i="11"/>
  <c r="O29" i="11"/>
  <c r="N29" i="11"/>
  <c r="L29" i="11"/>
  <c r="K29" i="11"/>
  <c r="J29" i="11"/>
  <c r="B29" i="11"/>
  <c r="A29" i="11"/>
  <c r="Q28" i="11"/>
  <c r="O28" i="11"/>
  <c r="N28" i="11"/>
  <c r="L28" i="11"/>
  <c r="K28" i="11"/>
  <c r="J28" i="11"/>
  <c r="B28" i="11"/>
  <c r="A28" i="11"/>
  <c r="Q27" i="11"/>
  <c r="O27" i="11"/>
  <c r="N27" i="11"/>
  <c r="L27" i="11"/>
  <c r="K27" i="11"/>
  <c r="J27" i="11"/>
  <c r="B27" i="11"/>
  <c r="A27" i="11"/>
  <c r="Q26" i="11"/>
  <c r="O26" i="11"/>
  <c r="N26" i="11"/>
  <c r="L26" i="11"/>
  <c r="K26" i="11"/>
  <c r="J26" i="11"/>
  <c r="B26" i="11"/>
  <c r="A26" i="11"/>
  <c r="Q25" i="11"/>
  <c r="O25" i="11"/>
  <c r="N25" i="11"/>
  <c r="L25" i="11"/>
  <c r="K25" i="11"/>
  <c r="J25" i="11"/>
  <c r="B25" i="11"/>
  <c r="A25" i="11"/>
  <c r="Q24" i="11"/>
  <c r="O24" i="11"/>
  <c r="N24" i="11"/>
  <c r="L24" i="11"/>
  <c r="K24" i="11"/>
  <c r="J24" i="11"/>
  <c r="B24" i="11"/>
  <c r="A24" i="11"/>
  <c r="Q23" i="11"/>
  <c r="O23" i="11"/>
  <c r="N23" i="11"/>
  <c r="L23" i="11"/>
  <c r="K23" i="11"/>
  <c r="J23" i="11"/>
  <c r="B23" i="11"/>
  <c r="A23" i="11"/>
  <c r="Q22" i="11"/>
  <c r="O22" i="11"/>
  <c r="N22" i="11"/>
  <c r="L22" i="11"/>
  <c r="K22" i="11"/>
  <c r="J22" i="11"/>
  <c r="B22" i="11"/>
  <c r="A22" i="11"/>
  <c r="Q21" i="11"/>
  <c r="O21" i="11"/>
  <c r="N21" i="11"/>
  <c r="L21" i="11"/>
  <c r="K21" i="11"/>
  <c r="J21" i="11"/>
  <c r="B21" i="11"/>
  <c r="A21" i="11"/>
  <c r="Q20" i="11"/>
  <c r="O20" i="11"/>
  <c r="N20" i="11"/>
  <c r="L20" i="11"/>
  <c r="K20" i="11"/>
  <c r="J20" i="11"/>
  <c r="B20" i="11"/>
  <c r="A20" i="11"/>
  <c r="Q19" i="11"/>
  <c r="O19" i="11"/>
  <c r="N19" i="11"/>
  <c r="L19" i="11"/>
  <c r="K19" i="11"/>
  <c r="J19" i="11"/>
  <c r="B19" i="11"/>
  <c r="A19" i="11"/>
  <c r="B18" i="11"/>
  <c r="A18" i="11"/>
  <c r="B17" i="11"/>
  <c r="A17" i="11"/>
  <c r="B16" i="11"/>
  <c r="A16" i="11"/>
  <c r="B15" i="11"/>
  <c r="A15" i="11"/>
  <c r="B14" i="11"/>
  <c r="A14" i="11"/>
  <c r="B13" i="11"/>
  <c r="A13" i="11"/>
  <c r="B12" i="11"/>
  <c r="A12" i="11"/>
  <c r="B11" i="11"/>
  <c r="A11" i="11"/>
  <c r="C15" i="10"/>
  <c r="A43" i="9"/>
  <c r="H43" i="9" s="1"/>
  <c r="A42" i="9"/>
  <c r="H42" i="9" s="1"/>
  <c r="A41" i="9"/>
  <c r="H41" i="9" s="1"/>
  <c r="A40" i="9"/>
  <c r="H40" i="9" s="1"/>
  <c r="A39" i="9"/>
  <c r="H39" i="9" s="1"/>
  <c r="A38" i="9"/>
  <c r="H38" i="9" s="1"/>
  <c r="A37" i="9"/>
  <c r="H37" i="9" s="1"/>
  <c r="A36" i="9"/>
  <c r="H36" i="9" s="1"/>
  <c r="A35" i="9"/>
  <c r="H35" i="9" s="1"/>
  <c r="A34" i="9"/>
  <c r="H34" i="9" s="1"/>
  <c r="A33" i="9"/>
  <c r="H33" i="9" s="1"/>
  <c r="A32" i="9"/>
  <c r="H32" i="9" s="1"/>
  <c r="A31" i="9"/>
  <c r="H31" i="9" s="1"/>
  <c r="A30" i="9"/>
  <c r="H30" i="9" s="1"/>
  <c r="A29" i="9"/>
  <c r="H29" i="9" s="1"/>
  <c r="A28" i="9"/>
  <c r="H28" i="9" s="1"/>
  <c r="A27" i="9"/>
  <c r="H27" i="9" s="1"/>
  <c r="A26" i="9"/>
  <c r="H26" i="9" s="1"/>
  <c r="A25" i="9"/>
  <c r="H25" i="9" s="1"/>
  <c r="A24" i="9"/>
  <c r="H24" i="9" s="1"/>
  <c r="A23" i="9"/>
  <c r="H23" i="9" s="1"/>
  <c r="A22" i="9"/>
  <c r="H22" i="9" s="1"/>
  <c r="A21" i="9"/>
  <c r="H21" i="9" s="1"/>
  <c r="A20" i="9"/>
  <c r="H20" i="9" s="1"/>
  <c r="A19" i="9"/>
  <c r="H19" i="9" s="1"/>
  <c r="A18" i="9"/>
  <c r="H18" i="9" s="1"/>
  <c r="A17" i="9"/>
  <c r="H17" i="9" s="1"/>
  <c r="A16" i="9"/>
  <c r="H16" i="9" s="1"/>
  <c r="A15" i="9"/>
  <c r="H15" i="9" s="1"/>
  <c r="A14" i="9"/>
  <c r="H14" i="9" s="1"/>
  <c r="A13" i="9"/>
  <c r="H13" i="9" s="1"/>
  <c r="A12" i="9"/>
  <c r="H12" i="9" s="1"/>
  <c r="F10" i="9"/>
  <c r="E10" i="9"/>
  <c r="D10" i="9"/>
  <c r="C10" i="9"/>
  <c r="B10" i="9"/>
  <c r="F9" i="9"/>
  <c r="E9" i="9"/>
  <c r="D9" i="9"/>
  <c r="C9" i="9"/>
  <c r="B9" i="9"/>
  <c r="C15" i="8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M16" i="7"/>
  <c r="L16" i="7"/>
  <c r="K16" i="7"/>
  <c r="J16" i="7"/>
  <c r="I16" i="7"/>
  <c r="H16" i="7"/>
  <c r="G16" i="7"/>
  <c r="F16" i="7"/>
  <c r="E16" i="7"/>
  <c r="D16" i="7"/>
  <c r="C16" i="7"/>
  <c r="B16" i="7"/>
  <c r="M15" i="7"/>
  <c r="L15" i="7"/>
  <c r="K15" i="7"/>
  <c r="J15" i="7"/>
  <c r="I15" i="7"/>
  <c r="H15" i="7"/>
  <c r="G15" i="7"/>
  <c r="F15" i="7"/>
  <c r="E15" i="7"/>
  <c r="D15" i="7"/>
  <c r="C15" i="7"/>
  <c r="B15" i="7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M19" i="5"/>
  <c r="L19" i="5"/>
  <c r="K19" i="5"/>
  <c r="J19" i="5"/>
  <c r="I19" i="5"/>
  <c r="H19" i="5"/>
  <c r="G19" i="5"/>
  <c r="F19" i="5"/>
  <c r="E19" i="5"/>
  <c r="D19" i="5"/>
  <c r="B19" i="5"/>
  <c r="M18" i="5"/>
  <c r="L18" i="5"/>
  <c r="K18" i="5"/>
  <c r="J18" i="5"/>
  <c r="I18" i="5"/>
  <c r="H18" i="5"/>
  <c r="G18" i="5"/>
  <c r="F18" i="5"/>
  <c r="E18" i="5"/>
  <c r="D18" i="5"/>
  <c r="C18" i="5"/>
  <c r="C19" i="5" s="1"/>
  <c r="B18" i="5"/>
  <c r="M17" i="5"/>
  <c r="L17" i="5"/>
  <c r="K17" i="5"/>
  <c r="J17" i="5"/>
  <c r="I17" i="5"/>
  <c r="H17" i="5"/>
  <c r="G17" i="5"/>
  <c r="F17" i="5"/>
  <c r="E17" i="5"/>
  <c r="D17" i="5"/>
  <c r="C17" i="5"/>
  <c r="B17" i="5"/>
  <c r="M16" i="5"/>
  <c r="L16" i="5"/>
  <c r="K16" i="5"/>
  <c r="J16" i="5"/>
  <c r="I16" i="5"/>
  <c r="H16" i="5"/>
  <c r="G16" i="5"/>
  <c r="F16" i="5"/>
  <c r="E16" i="5"/>
  <c r="D16" i="5"/>
  <c r="C16" i="5"/>
  <c r="B16" i="5"/>
  <c r="M15" i="5"/>
  <c r="L15" i="5"/>
  <c r="K15" i="5"/>
  <c r="J15" i="5"/>
  <c r="I15" i="5"/>
  <c r="H15" i="5"/>
  <c r="G15" i="5"/>
  <c r="F15" i="5"/>
  <c r="E15" i="5"/>
  <c r="D15" i="5"/>
  <c r="C15" i="5"/>
  <c r="B15" i="5"/>
  <c r="I13" i="4"/>
  <c r="I12" i="4"/>
  <c r="I11" i="4"/>
  <c r="I10" i="4"/>
  <c r="I9" i="4"/>
  <c r="I8" i="4"/>
  <c r="I7" i="4"/>
  <c r="I6" i="4"/>
  <c r="I4" i="4"/>
  <c r="B5" i="2"/>
  <c r="B4" i="2"/>
  <c r="D46" i="12" l="1"/>
  <c r="G43" i="9"/>
  <c r="G42" i="9"/>
  <c r="G41" i="9"/>
  <c r="G40" i="9"/>
  <c r="N45" i="12"/>
  <c r="P45" i="12" s="1"/>
  <c r="I45" i="12"/>
  <c r="N44" i="12"/>
  <c r="P44" i="12" s="1"/>
  <c r="I44" i="12"/>
  <c r="I43" i="12"/>
  <c r="N43" i="12"/>
  <c r="P43" i="12" s="1"/>
  <c r="N42" i="12"/>
  <c r="P42" i="12" s="1"/>
  <c r="I42" i="12"/>
  <c r="N41" i="12"/>
  <c r="P41" i="12" s="1"/>
  <c r="I41" i="12"/>
  <c r="I40" i="12"/>
  <c r="N40" i="12"/>
  <c r="P40" i="12" s="1"/>
  <c r="N39" i="12"/>
  <c r="P39" i="12" s="1"/>
  <c r="I39" i="12"/>
  <c r="N38" i="12"/>
  <c r="P38" i="12" s="1"/>
  <c r="I38" i="12"/>
  <c r="N37" i="12"/>
  <c r="P37" i="12" s="1"/>
  <c r="I37" i="12"/>
  <c r="N36" i="12"/>
  <c r="P36" i="12" s="1"/>
  <c r="I36" i="12"/>
  <c r="N35" i="12"/>
  <c r="P35" i="12" s="1"/>
  <c r="I35" i="12"/>
  <c r="N34" i="12"/>
  <c r="P34" i="12" s="1"/>
  <c r="I34" i="12"/>
  <c r="I33" i="12"/>
  <c r="N33" i="12"/>
  <c r="P33" i="12" s="1"/>
  <c r="N32" i="12"/>
  <c r="P32" i="12" s="1"/>
  <c r="I32" i="12"/>
  <c r="I31" i="12"/>
  <c r="N31" i="12"/>
  <c r="P31" i="12" s="1"/>
  <c r="I30" i="12"/>
  <c r="N30" i="12"/>
  <c r="P30" i="12" s="1"/>
  <c r="I29" i="12"/>
  <c r="N29" i="12"/>
  <c r="P29" i="12" s="1"/>
  <c r="N28" i="12"/>
  <c r="P28" i="12" s="1"/>
  <c r="I28" i="12"/>
  <c r="I27" i="12"/>
  <c r="N27" i="12"/>
  <c r="P27" i="12" s="1"/>
  <c r="O46" i="12"/>
  <c r="D9" i="12"/>
  <c r="N26" i="12"/>
  <c r="P26" i="12" s="1"/>
  <c r="I26" i="12"/>
  <c r="N25" i="12"/>
  <c r="P25" i="12" s="1"/>
  <c r="I25" i="12"/>
  <c r="N24" i="12"/>
  <c r="P24" i="12" s="1"/>
  <c r="I24" i="12"/>
  <c r="N23" i="12"/>
  <c r="P23" i="12" s="1"/>
  <c r="I23" i="12"/>
  <c r="N22" i="12"/>
  <c r="P22" i="12" s="1"/>
  <c r="I22" i="12"/>
  <c r="G36" i="9"/>
  <c r="I36" i="9" s="1"/>
  <c r="H35" i="11" s="1"/>
  <c r="G35" i="9"/>
  <c r="I35" i="9" s="1"/>
  <c r="H34" i="11" s="1"/>
  <c r="G34" i="9"/>
  <c r="I34" i="9" s="1"/>
  <c r="H33" i="11" s="1"/>
  <c r="G33" i="9"/>
  <c r="I33" i="9" s="1"/>
  <c r="H32" i="11" s="1"/>
  <c r="G32" i="9"/>
  <c r="I32" i="9" s="1"/>
  <c r="H31" i="11" s="1"/>
  <c r="G31" i="9"/>
  <c r="I31" i="9" s="1"/>
  <c r="H30" i="11" s="1"/>
  <c r="G30" i="9"/>
  <c r="I30" i="9" s="1"/>
  <c r="H29" i="11" s="1"/>
  <c r="G29" i="9"/>
  <c r="I29" i="9" s="1"/>
  <c r="H28" i="11" s="1"/>
  <c r="G28" i="9"/>
  <c r="I28" i="9" s="1"/>
  <c r="H27" i="11" s="1"/>
  <c r="G27" i="9"/>
  <c r="I27" i="9" s="1"/>
  <c r="H26" i="11" s="1"/>
  <c r="G26" i="9"/>
  <c r="I26" i="9" s="1"/>
  <c r="H25" i="11" s="1"/>
  <c r="G25" i="9"/>
  <c r="I25" i="9" s="1"/>
  <c r="H24" i="11" s="1"/>
  <c r="G24" i="9"/>
  <c r="I24" i="9" s="1"/>
  <c r="H23" i="11" s="1"/>
  <c r="G23" i="9"/>
  <c r="I23" i="9" s="1"/>
  <c r="H22" i="11" s="1"/>
  <c r="G22" i="9"/>
  <c r="I22" i="9" s="1"/>
  <c r="H21" i="11" s="1"/>
  <c r="G21" i="9"/>
  <c r="I21" i="9" s="1"/>
  <c r="H20" i="11" s="1"/>
  <c r="G20" i="9"/>
  <c r="I20" i="9" s="1"/>
  <c r="H19" i="11" s="1"/>
  <c r="G19" i="9"/>
  <c r="I19" i="9" s="1"/>
  <c r="H18" i="11" s="1"/>
  <c r="G18" i="9"/>
  <c r="I18" i="9" s="1"/>
  <c r="H17" i="11" s="1"/>
  <c r="G17" i="9"/>
  <c r="I17" i="9" s="1"/>
  <c r="H16" i="11" s="1"/>
  <c r="G16" i="9"/>
  <c r="I16" i="9" s="1"/>
  <c r="H15" i="11" s="1"/>
  <c r="G15" i="9"/>
  <c r="I15" i="9" s="1"/>
  <c r="H14" i="11" s="1"/>
  <c r="G39" i="9"/>
  <c r="I39" i="9" s="1"/>
  <c r="H38" i="11" s="1"/>
  <c r="G14" i="9"/>
  <c r="I14" i="9" s="1"/>
  <c r="H13" i="11" s="1"/>
  <c r="G38" i="9"/>
  <c r="I38" i="9" s="1"/>
  <c r="H37" i="11" s="1"/>
  <c r="G13" i="9"/>
  <c r="I13" i="9" s="1"/>
  <c r="H12" i="11" s="1"/>
  <c r="G37" i="9"/>
  <c r="I37" i="9" s="1"/>
  <c r="H36" i="11" s="1"/>
  <c r="G12" i="9"/>
  <c r="I12" i="9" s="1"/>
  <c r="H11" i="11" s="1"/>
  <c r="N21" i="7"/>
  <c r="F14" i="11" s="1"/>
  <c r="N22" i="7"/>
  <c r="F15" i="11" s="1"/>
  <c r="N23" i="7"/>
  <c r="F16" i="11" s="1"/>
  <c r="N32" i="7"/>
  <c r="F25" i="11" s="1"/>
  <c r="N24" i="7"/>
  <c r="F17" i="11" s="1"/>
  <c r="N25" i="7"/>
  <c r="F18" i="11" s="1"/>
  <c r="N18" i="7"/>
  <c r="F11" i="11" s="1"/>
  <c r="N19" i="7"/>
  <c r="F12" i="11" s="1"/>
  <c r="N26" i="7"/>
  <c r="F19" i="11" s="1"/>
  <c r="N20" i="7"/>
  <c r="F13" i="11" s="1"/>
  <c r="N27" i="7"/>
  <c r="F20" i="11" s="1"/>
  <c r="N28" i="7"/>
  <c r="F21" i="11" s="1"/>
  <c r="N29" i="7"/>
  <c r="F22" i="11" s="1"/>
  <c r="N30" i="7"/>
  <c r="F23" i="11" s="1"/>
  <c r="N31" i="7"/>
  <c r="F24" i="11" s="1"/>
  <c r="N49" i="7"/>
  <c r="F42" i="11" s="1"/>
  <c r="N48" i="7"/>
  <c r="F41" i="11" s="1"/>
  <c r="N47" i="7"/>
  <c r="F40" i="11" s="1"/>
  <c r="N46" i="7"/>
  <c r="F39" i="11" s="1"/>
  <c r="N45" i="7"/>
  <c r="F38" i="11" s="1"/>
  <c r="N44" i="7"/>
  <c r="F37" i="11" s="1"/>
  <c r="N43" i="7"/>
  <c r="F36" i="11" s="1"/>
  <c r="N42" i="7"/>
  <c r="F35" i="11" s="1"/>
  <c r="N41" i="7"/>
  <c r="F34" i="11" s="1"/>
  <c r="N40" i="7"/>
  <c r="F33" i="11" s="1"/>
  <c r="N39" i="7"/>
  <c r="F32" i="11" s="1"/>
  <c r="N38" i="7"/>
  <c r="F31" i="11" s="1"/>
  <c r="N37" i="7"/>
  <c r="F30" i="11" s="1"/>
  <c r="N36" i="7"/>
  <c r="F29" i="11" s="1"/>
  <c r="N35" i="7"/>
  <c r="F28" i="11" s="1"/>
  <c r="N34" i="7"/>
  <c r="F27" i="11" s="1"/>
  <c r="N33" i="7"/>
  <c r="F26" i="11" s="1"/>
  <c r="V39" i="6"/>
  <c r="E23" i="11" s="1"/>
  <c r="V27" i="6"/>
  <c r="E11" i="11" s="1"/>
  <c r="V42" i="6"/>
  <c r="E26" i="11" s="1"/>
  <c r="V43" i="6"/>
  <c r="E27" i="11" s="1"/>
  <c r="V44" i="6"/>
  <c r="E28" i="11" s="1"/>
  <c r="V45" i="6"/>
  <c r="E29" i="11" s="1"/>
  <c r="V46" i="6"/>
  <c r="E30" i="11" s="1"/>
  <c r="V47" i="6"/>
  <c r="E31" i="11" s="1"/>
  <c r="V48" i="6"/>
  <c r="E32" i="11" s="1"/>
  <c r="V35" i="6"/>
  <c r="E19" i="11" s="1"/>
  <c r="V32" i="6"/>
  <c r="E16" i="11" s="1"/>
  <c r="V30" i="6"/>
  <c r="E14" i="11" s="1"/>
  <c r="V29" i="6"/>
  <c r="E13" i="11" s="1"/>
  <c r="V49" i="6"/>
  <c r="E33" i="11" s="1"/>
  <c r="V50" i="6"/>
  <c r="E34" i="11" s="1"/>
  <c r="V51" i="6"/>
  <c r="E35" i="11" s="1"/>
  <c r="V52" i="6"/>
  <c r="E36" i="11" s="1"/>
  <c r="V53" i="6"/>
  <c r="E37" i="11" s="1"/>
  <c r="V54" i="6"/>
  <c r="E38" i="11" s="1"/>
  <c r="V55" i="6"/>
  <c r="E39" i="11" s="1"/>
  <c r="V56" i="6"/>
  <c r="E40" i="11" s="1"/>
  <c r="V57" i="6"/>
  <c r="E41" i="11" s="1"/>
  <c r="V58" i="6"/>
  <c r="E42" i="11" s="1"/>
  <c r="V41" i="6"/>
  <c r="E25" i="11" s="1"/>
  <c r="V40" i="6"/>
  <c r="E24" i="11" s="1"/>
  <c r="V38" i="6"/>
  <c r="E22" i="11" s="1"/>
  <c r="V37" i="6"/>
  <c r="E21" i="11" s="1"/>
  <c r="V36" i="6"/>
  <c r="E20" i="11" s="1"/>
  <c r="V34" i="6"/>
  <c r="E18" i="11" s="1"/>
  <c r="V33" i="6"/>
  <c r="E17" i="11" s="1"/>
  <c r="V31" i="6"/>
  <c r="E15" i="11" s="1"/>
  <c r="V28" i="6"/>
  <c r="E12" i="11" s="1"/>
  <c r="N26" i="5"/>
  <c r="D17" i="11" s="1"/>
  <c r="N27" i="5"/>
  <c r="D18" i="11" s="1"/>
  <c r="N42" i="5"/>
  <c r="D33" i="11" s="1"/>
  <c r="N31" i="5"/>
  <c r="D22" i="11" s="1"/>
  <c r="N32" i="5"/>
  <c r="D23" i="11" s="1"/>
  <c r="N33" i="5"/>
  <c r="D24" i="11" s="1"/>
  <c r="N34" i="5"/>
  <c r="D25" i="11" s="1"/>
  <c r="N35" i="5"/>
  <c r="D26" i="11" s="1"/>
  <c r="N36" i="5"/>
  <c r="D27" i="11" s="1"/>
  <c r="N39" i="5"/>
  <c r="D30" i="11" s="1"/>
  <c r="N40" i="5"/>
  <c r="D31" i="11" s="1"/>
  <c r="N41" i="5"/>
  <c r="D32" i="11" s="1"/>
  <c r="N45" i="5"/>
  <c r="D36" i="11" s="1"/>
  <c r="N46" i="5"/>
  <c r="D37" i="11" s="1"/>
  <c r="N51" i="5"/>
  <c r="D42" i="11" s="1"/>
  <c r="N38" i="5"/>
  <c r="D29" i="11" s="1"/>
  <c r="N37" i="5"/>
  <c r="D28" i="11" s="1"/>
  <c r="N29" i="5"/>
  <c r="D20" i="11" s="1"/>
  <c r="N23" i="5"/>
  <c r="D14" i="11" s="1"/>
  <c r="N22" i="5"/>
  <c r="D13" i="11" s="1"/>
  <c r="N21" i="5"/>
  <c r="D12" i="11" s="1"/>
  <c r="N20" i="5"/>
  <c r="D11" i="11" s="1"/>
  <c r="N49" i="5"/>
  <c r="D40" i="11" s="1"/>
  <c r="N30" i="5"/>
  <c r="D21" i="11" s="1"/>
  <c r="N24" i="5"/>
  <c r="D15" i="11" s="1"/>
  <c r="N25" i="5"/>
  <c r="D16" i="11" s="1"/>
  <c r="N50" i="5"/>
  <c r="D41" i="11" s="1"/>
  <c r="N28" i="5"/>
  <c r="D19" i="11" s="1"/>
  <c r="N48" i="5"/>
  <c r="D39" i="11" s="1"/>
  <c r="N47" i="5"/>
  <c r="D38" i="11" s="1"/>
  <c r="N44" i="5"/>
  <c r="D35" i="11" s="1"/>
  <c r="N43" i="5"/>
  <c r="D34" i="11" s="1"/>
  <c r="H12" i="4"/>
  <c r="D15" i="8"/>
  <c r="H13" i="4"/>
  <c r="H5" i="4"/>
  <c r="H4" i="4"/>
  <c r="D15" i="10"/>
  <c r="H3" i="4"/>
  <c r="H6" i="4"/>
  <c r="H2" i="4"/>
  <c r="H9" i="4"/>
  <c r="H10" i="4"/>
  <c r="H11" i="4"/>
  <c r="H7" i="4"/>
  <c r="H8" i="4"/>
  <c r="I41" i="9"/>
  <c r="H40" i="11" s="1"/>
  <c r="I43" i="9"/>
  <c r="H42" i="11" s="1"/>
  <c r="I42" i="9"/>
  <c r="H41" i="11" s="1"/>
  <c r="I40" i="9"/>
  <c r="H39" i="11" s="1"/>
  <c r="J12" i="4" l="1"/>
  <c r="K12" i="4" s="1"/>
  <c r="G11" i="11"/>
  <c r="G12" i="11"/>
  <c r="G13" i="11"/>
  <c r="G14" i="11"/>
  <c r="G19" i="11"/>
  <c r="G15" i="11"/>
  <c r="G16" i="11"/>
  <c r="G18" i="11"/>
  <c r="G21" i="11"/>
  <c r="G22" i="11"/>
  <c r="G20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17" i="11"/>
  <c r="G35" i="11"/>
  <c r="G36" i="11"/>
  <c r="G37" i="11"/>
  <c r="G38" i="11"/>
  <c r="G39" i="11"/>
  <c r="G40" i="11"/>
  <c r="G41" i="11"/>
  <c r="G42" i="11"/>
  <c r="J13" i="4"/>
  <c r="K13" i="4" s="1"/>
  <c r="I5" i="4"/>
  <c r="J5" i="4" s="1"/>
  <c r="K5" i="4" s="1"/>
  <c r="J4" i="4"/>
  <c r="K4" i="4" s="1"/>
  <c r="I11" i="11"/>
  <c r="I17" i="11"/>
  <c r="I35" i="11"/>
  <c r="I36" i="11"/>
  <c r="I37" i="11"/>
  <c r="I38" i="11"/>
  <c r="I39" i="11"/>
  <c r="I40" i="11"/>
  <c r="I41" i="11"/>
  <c r="I42" i="11"/>
  <c r="I12" i="11"/>
  <c r="I13" i="11"/>
  <c r="I14" i="11"/>
  <c r="I15" i="11"/>
  <c r="I16" i="11"/>
  <c r="I18" i="11"/>
  <c r="I21" i="11"/>
  <c r="I22" i="11"/>
  <c r="I24" i="11"/>
  <c r="I19" i="11"/>
  <c r="I20" i="11"/>
  <c r="I23" i="11"/>
  <c r="I25" i="11"/>
  <c r="I26" i="11"/>
  <c r="I27" i="11"/>
  <c r="I28" i="11"/>
  <c r="I29" i="11"/>
  <c r="I30" i="11"/>
  <c r="I31" i="11"/>
  <c r="I32" i="11"/>
  <c r="I33" i="11"/>
  <c r="I34" i="11"/>
  <c r="I3" i="4"/>
  <c r="J3" i="4" s="1"/>
  <c r="J6" i="4"/>
  <c r="K6" i="4"/>
  <c r="I2" i="4"/>
  <c r="J2" i="4" s="1"/>
  <c r="K2" i="4" s="1"/>
  <c r="J9" i="4"/>
  <c r="K9" i="4" s="1"/>
  <c r="J10" i="4"/>
  <c r="K10" i="4" s="1"/>
  <c r="J11" i="4"/>
  <c r="K11" i="4" s="1"/>
  <c r="J7" i="4"/>
  <c r="K7" i="4" s="1"/>
  <c r="J8" i="4"/>
  <c r="K8" i="4" s="1"/>
  <c r="D43" i="11"/>
  <c r="H43" i="11"/>
  <c r="F43" i="11"/>
  <c r="E43" i="11"/>
  <c r="I43" i="11" l="1"/>
  <c r="G43" i="11"/>
  <c r="J15" i="4"/>
  <c r="K3" i="4"/>
  <c r="K15" i="4" s="1"/>
  <c r="C42" i="11" l="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0" i="11"/>
  <c r="C23" i="11"/>
  <c r="C21" i="11"/>
  <c r="C18" i="11"/>
  <c r="J18" i="11" s="1"/>
  <c r="K18" i="11" s="1"/>
  <c r="L18" i="11" s="1"/>
  <c r="C17" i="11"/>
  <c r="J17" i="11" s="1"/>
  <c r="K17" i="11" s="1"/>
  <c r="L17" i="11" s="1"/>
  <c r="C16" i="11"/>
  <c r="J16" i="11" s="1"/>
  <c r="K16" i="11" s="1"/>
  <c r="L16" i="11" s="1"/>
  <c r="C15" i="11"/>
  <c r="J15" i="11" s="1"/>
  <c r="K15" i="11" s="1"/>
  <c r="L15" i="11" s="1"/>
  <c r="C22" i="11"/>
  <c r="C19" i="11"/>
  <c r="C14" i="11"/>
  <c r="J14" i="11" s="1"/>
  <c r="K14" i="11" s="1"/>
  <c r="L14" i="11" s="1"/>
  <c r="C13" i="11"/>
  <c r="J13" i="11" s="1"/>
  <c r="K13" i="11" s="1"/>
  <c r="L13" i="11" s="1"/>
  <c r="C12" i="11"/>
  <c r="J12" i="11" s="1"/>
  <c r="K12" i="11" s="1"/>
  <c r="L12" i="11" s="1"/>
  <c r="C11" i="11"/>
  <c r="J11" i="11" l="1"/>
  <c r="C43" i="11"/>
  <c r="K11" i="11" l="1"/>
  <c r="L11" i="11" s="1"/>
  <c r="B3" i="11"/>
  <c r="J43" i="11"/>
  <c r="B6" i="11" l="1"/>
  <c r="M13" i="11"/>
  <c r="N13" i="11" s="1"/>
  <c r="M14" i="11"/>
  <c r="M15" i="11"/>
  <c r="N15" i="11" s="1"/>
  <c r="M12" i="11"/>
  <c r="M16" i="11"/>
  <c r="N16" i="11" s="1"/>
  <c r="M17" i="11"/>
  <c r="N17" i="11" s="1"/>
  <c r="M18" i="11"/>
  <c r="N18" i="11" s="1"/>
  <c r="M41" i="11"/>
  <c r="M22" i="11"/>
  <c r="M28" i="11"/>
  <c r="M19" i="11"/>
  <c r="M20" i="11"/>
  <c r="M21" i="11"/>
  <c r="M23" i="11"/>
  <c r="M24" i="11"/>
  <c r="M25" i="11"/>
  <c r="M26" i="11"/>
  <c r="M27" i="11"/>
  <c r="M29" i="11"/>
  <c r="M30" i="11"/>
  <c r="M31" i="11"/>
  <c r="M32" i="11"/>
  <c r="M33" i="11"/>
  <c r="M34" i="11"/>
  <c r="M35" i="11"/>
  <c r="M39" i="11"/>
  <c r="M36" i="11"/>
  <c r="M37" i="11"/>
  <c r="M38" i="11"/>
  <c r="M40" i="11"/>
  <c r="M42" i="11"/>
  <c r="M11" i="11"/>
  <c r="N14" i="11" l="1"/>
  <c r="N12" i="11"/>
  <c r="N11" i="11"/>
  <c r="C16" i="12"/>
  <c r="Q13" i="11"/>
  <c r="O13" i="11"/>
  <c r="C17" i="12"/>
  <c r="Q14" i="11"/>
  <c r="O14" i="11"/>
  <c r="C18" i="12"/>
  <c r="Q15" i="11"/>
  <c r="O15" i="11"/>
  <c r="C15" i="12"/>
  <c r="Q12" i="11"/>
  <c r="O12" i="11"/>
  <c r="C19" i="12"/>
  <c r="O16" i="11"/>
  <c r="Q16" i="11"/>
  <c r="C20" i="12"/>
  <c r="O17" i="11"/>
  <c r="Q17" i="11"/>
  <c r="C21" i="12"/>
  <c r="O18" i="11"/>
  <c r="Q18" i="11"/>
  <c r="O11" i="11"/>
  <c r="Q11" i="11"/>
  <c r="B4" i="11"/>
  <c r="B5" i="11" s="1"/>
  <c r="C14" i="12" l="1"/>
  <c r="N43" i="11"/>
  <c r="I16" i="12"/>
  <c r="N16" i="12"/>
  <c r="P16" i="12" s="1"/>
  <c r="Q16" i="12" s="1"/>
  <c r="I17" i="12"/>
  <c r="N17" i="12"/>
  <c r="P17" i="12" s="1"/>
  <c r="Q17" i="12" s="1"/>
  <c r="I18" i="12"/>
  <c r="N18" i="12"/>
  <c r="P18" i="12" s="1"/>
  <c r="Q18" i="12" s="1"/>
  <c r="I15" i="12"/>
  <c r="N15" i="12"/>
  <c r="P15" i="12" s="1"/>
  <c r="Q15" i="12" s="1"/>
  <c r="I19" i="12"/>
  <c r="N19" i="12"/>
  <c r="P19" i="12" s="1"/>
  <c r="Q19" i="12" s="1"/>
  <c r="I20" i="12"/>
  <c r="N20" i="12"/>
  <c r="P20" i="12" s="1"/>
  <c r="Q20" i="12" s="1"/>
  <c r="I21" i="12"/>
  <c r="N21" i="12"/>
  <c r="P21" i="12" s="1"/>
  <c r="Q21" i="12" s="1"/>
  <c r="I14" i="12"/>
  <c r="N14" i="12"/>
  <c r="C46" i="12"/>
  <c r="O43" i="11"/>
  <c r="B7" i="11"/>
  <c r="P14" i="12" l="1"/>
  <c r="D8" i="12"/>
  <c r="N46" i="12"/>
  <c r="A66" i="11"/>
  <c r="B66" i="11" s="1"/>
  <c r="A65" i="11"/>
  <c r="B65" i="11" s="1"/>
  <c r="A64" i="11"/>
  <c r="B64" i="11" s="1"/>
  <c r="A63" i="11"/>
  <c r="B63" i="11" s="1"/>
  <c r="A62" i="11"/>
  <c r="B62" i="11" s="1"/>
  <c r="A61" i="11"/>
  <c r="B61" i="11" s="1"/>
  <c r="A60" i="11"/>
  <c r="B60" i="11" s="1"/>
  <c r="A59" i="11"/>
  <c r="B59" i="11" s="1"/>
  <c r="A58" i="11"/>
  <c r="B58" i="11" s="1"/>
  <c r="A57" i="11"/>
  <c r="B57" i="11" s="1"/>
  <c r="A56" i="11"/>
  <c r="B56" i="11" s="1"/>
  <c r="A55" i="11"/>
  <c r="B55" i="11" s="1"/>
  <c r="A54" i="11"/>
  <c r="B54" i="11" s="1"/>
  <c r="A53" i="11"/>
  <c r="B53" i="11" s="1"/>
  <c r="A52" i="11"/>
  <c r="B52" i="11" s="1"/>
  <c r="A51" i="11"/>
  <c r="B51" i="11" s="1"/>
  <c r="A50" i="11"/>
  <c r="B50" i="11" s="1"/>
  <c r="A49" i="11"/>
  <c r="B49" i="11" s="1"/>
  <c r="A48" i="11"/>
  <c r="B48" i="11" s="1"/>
  <c r="A47" i="11"/>
  <c r="B47" i="11" s="1"/>
  <c r="I46" i="12"/>
  <c r="Q14" i="12" l="1"/>
  <c r="D10" i="12"/>
  <c r="P46" i="12"/>
</calcChain>
</file>

<file path=xl/sharedStrings.xml><?xml version="1.0" encoding="utf-8"?>
<sst xmlns="http://schemas.openxmlformats.org/spreadsheetml/2006/main" count="223" uniqueCount="166">
  <si>
    <t>Golfscore Club — Trip Finance Manager</t>
  </si>
  <si>
    <t>HOW THIS WORKBOOK WORKS</t>
  </si>
  <si>
    <t>This workbook supports 4-32 players and up to 12 rounds of golf. All players are assumed to play every round.</t>
  </si>
  <si>
    <t>Blue cells = inputs you type. Black cells = formulas (do not overtype). Green cells = links pulled from another sheet.</t>
  </si>
  <si>
    <t>1. Setup - set the $ rounding increment used to convert everyone's cost to a small number of round dollar figures.</t>
  </si>
  <si>
    <t>2. Players - list every player's name (up to 32). Costs elsewhere are keyed to this list, in this same row order.</t>
  </si>
  <si>
    <t>3. Rounds - enter golf, cart and caddie costs per round. Caddie cost is entered per caddie, with 'Players per Caddie'</t>
  </si>
  <si>
    <t xml:space="preserve">   controlling whether it's 1 caddie each or shared (e.g. enter 4 to share one caddie between 4 players). The cost</t>
  </si>
  <si>
    <t xml:space="preserve">   of caddies/carts/golf is pooled and split equally across all players for that round (everyone plays every round).</t>
  </si>
  <si>
    <t>4. Transport - list each transport item (airfare, train, taxi, driver, etc). Choose a Split Method:</t>
  </si>
  <si>
    <t xml:space="preserve">     - 'Equal Split': in the matrix below, enter 1 for every player who shares that cost. It divides the total</t>
  </si>
  <si>
    <t xml:space="preserve">       cost evenly between everyone marked 1.</t>
  </si>
  <si>
    <t xml:space="preserve">     - 'Direct Entry': in the matrix, type each player's own $ amount directly (use this when costs genuinely</t>
  </si>
  <si>
    <t xml:space="preserve">       differ by person, e.g. individually booked airfares).</t>
  </si>
  <si>
    <t>5. Accommodation - list each night of the trip with a cost per person per night. In the matrix, put a 1 against</t>
  </si>
  <si>
    <t xml:space="preserve">   every night a player actually stays (this is how you handle players who skip the first/last night).</t>
  </si>
  <si>
    <t>6. Merchandise - list items and unit prices. In the matrix, enter the quantity each player is buying.</t>
  </si>
  <si>
    <t>7. Competitions - list competitions (e.g. The Calcutta). Entry fee is charged to every player marked 1 in the</t>
  </si>
  <si>
    <t xml:space="preserve">   matrix. Record the Winner (by name) and Payout Amount for each competition - the payout is credited back</t>
  </si>
  <si>
    <t xml:space="preserve">   (deducted) against that winner's total, netting the side-pot.</t>
  </si>
  <si>
    <t>8. Prizes / Incidentals - enter total costs for shared prize pool / incidental items; these are split equally</t>
  </si>
  <si>
    <t xml:space="preserve">   across all players.</t>
  </si>
  <si>
    <t>9. Summary - pulls every player's raw total cost, then rounds it to the nearest increment (Setup sheet) and,</t>
  </si>
  <si>
    <t xml:space="preserve">   if that undercollects versus the true total, nudges the minimum number of players up by one increment</t>
  </si>
  <si>
    <t xml:space="preserve">   (starting with those who were rounded down the most) until the whole trip is fully covered. This keeps the</t>
  </si>
  <si>
    <t xml:space="preserve">   number of distinct amounts owed as small as possible while guaranteeing the total is covered.</t>
  </si>
  <si>
    <t>To add more players/rounds/items, just fill in more of the existing blank rows - all formulas already cover</t>
  </si>
  <si>
    <t>the full 32-player / 12-round / etc. capacity of the template.</t>
  </si>
  <si>
    <t>Trip Setup</t>
  </si>
  <si>
    <t>Trip Name</t>
  </si>
  <si>
    <t>Golf Trip</t>
  </si>
  <si>
    <t>Number of Players (auto)</t>
  </si>
  <si>
    <t>Number of Rounds (auto)</t>
  </si>
  <si>
    <t>Rounding Increment ($)</t>
  </si>
  <si>
    <t>Player totals are rounded to a multiple of this amount to minimise the number of distinct amounts owed.</t>
  </si>
  <si>
    <t>Currency Symbol</t>
  </si>
  <si>
    <t>$</t>
  </si>
  <si>
    <t>Player ID</t>
  </si>
  <si>
    <t>Player Name</t>
  </si>
  <si>
    <t>Alex Thompson</t>
  </si>
  <si>
    <t>Ben Carter</t>
  </si>
  <si>
    <t>Chris Nguyen</t>
  </si>
  <si>
    <t>Dave Patel</t>
  </si>
  <si>
    <t>Ethan Wright</t>
  </si>
  <si>
    <t>Frank Lopez</t>
  </si>
  <si>
    <t>George Kim</t>
  </si>
  <si>
    <t>Harry Singh</t>
  </si>
  <si>
    <t>Round #</t>
  </si>
  <si>
    <t>Date</t>
  </si>
  <si>
    <t>Course / Location</t>
  </si>
  <si>
    <t>Golf Cost /Player ($)</t>
  </si>
  <si>
    <t>Cart Cost /Player ($)</t>
  </si>
  <si>
    <t>Caddie Cost (per caddie, $)</t>
  </si>
  <si>
    <t>Players per Caddie
(blank/0 = none)</t>
  </si>
  <si>
    <t>Players in Round (auto)</t>
  </si>
  <si>
    <t>Caddies Needed (auto)</t>
  </si>
  <si>
    <t>Total Round Cost (auto)</t>
  </si>
  <si>
    <t>Cost /Player (auto)</t>
  </si>
  <si>
    <t>Royal Pines GC</t>
  </si>
  <si>
    <t>Palm Meadows GC</t>
  </si>
  <si>
    <t>Lakelands GC</t>
  </si>
  <si>
    <t>The Glades GC</t>
  </si>
  <si>
    <t>TOTAL</t>
  </si>
  <si>
    <t>Item #</t>
  </si>
  <si>
    <t>Description</t>
  </si>
  <si>
    <t>Type</t>
  </si>
  <si>
    <t>Total Cost ($)</t>
  </si>
  <si>
    <t>Split Method</t>
  </si>
  <si>
    <t>Return airfares (group)</t>
  </si>
  <si>
    <t>Airfare</t>
  </si>
  <si>
    <t>Direct Entry</t>
  </si>
  <si>
    <t>Airport transfer coach</t>
  </si>
  <si>
    <t>Driver</t>
  </si>
  <si>
    <t>Equal Split</t>
  </si>
  <si>
    <t>Player</t>
  </si>
  <si>
    <t>Total Transport Cost ($)</t>
  </si>
  <si>
    <t>Participants (Equal Split)</t>
  </si>
  <si>
    <t>Per-Person Share ($)</t>
  </si>
  <si>
    <t>Night #</t>
  </si>
  <si>
    <t>Description / Location</t>
  </si>
  <si>
    <t>Shared / Twin Rate
($/person/night)</t>
  </si>
  <si>
    <t>Single Room Rate
($/person/night)</t>
  </si>
  <si>
    <t>Tip: the same night/location can have two rates - e.g. a shared twin room vs a single room. In the matrix below, mark each player 'Shared' or 'Single' for each night (leave blank if not staying).</t>
  </si>
  <si>
    <t>Night 1 - Arrival hotel (pre-tour)</t>
  </si>
  <si>
    <t>Night 2 - Main resort</t>
  </si>
  <si>
    <t>Night 3 - Main resort</t>
  </si>
  <si>
    <t>Night 4 - Main resort</t>
  </si>
  <si>
    <t>Night 5 - Departure hotel (post-tour)</t>
  </si>
  <si>
    <t>Total Accommodation Cost ($)</t>
  </si>
  <si>
    <t>Shared/Twin Rate ($)</t>
  </si>
  <si>
    <t>Single Rate ($)</t>
  </si>
  <si>
    <t>Single</t>
  </si>
  <si>
    <t>Shared</t>
  </si>
  <si>
    <t>Unit Price ($)</t>
  </si>
  <si>
    <t>Event polo shirt</t>
  </si>
  <si>
    <t>Cap</t>
  </si>
  <si>
    <t>Towel</t>
  </si>
  <si>
    <t>Total Merchandise Cost ($)</t>
  </si>
  <si>
    <t>Cost ($)</t>
  </si>
  <si>
    <t>Overall winner trophy + prize</t>
  </si>
  <si>
    <t>Runner-up prize</t>
  </si>
  <si>
    <t>Daily prizes (4 rounds)</t>
  </si>
  <si>
    <t>Per-Player Share (equal split)</t>
  </si>
  <si>
    <t>Comp #</t>
  </si>
  <si>
    <t>Name</t>
  </si>
  <si>
    <t>Entry Fee /Player ($)</t>
  </si>
  <si>
    <t>Winner</t>
  </si>
  <si>
    <t>Payout Amount ($)</t>
  </si>
  <si>
    <t>The Calcutta</t>
  </si>
  <si>
    <t>Nearest the Pin</t>
  </si>
  <si>
    <t>Entry Fees Total ($)</t>
  </si>
  <si>
    <t>Payout Credit ($)</t>
  </si>
  <si>
    <t>Net Competition Cost ($)</t>
  </si>
  <si>
    <t>Group photography</t>
  </si>
  <si>
    <t>Contingency / miscellaneous</t>
  </si>
  <si>
    <t>Trip Cost Summary</t>
  </si>
  <si>
    <t>Total Raw Trip Cost ($)</t>
  </si>
  <si>
    <t>Total Collected After Rounding ($)</t>
  </si>
  <si>
    <t>Surplus Buffer ($)</t>
  </si>
  <si>
    <t>Number of Players Bumped Up One Increment</t>
  </si>
  <si>
    <t>Number of Distinct Amounts Owed</t>
  </si>
  <si>
    <t>Player
ID</t>
  </si>
  <si>
    <t>Player
Name</t>
  </si>
  <si>
    <t>Golf/Cart/
Caddie ($)</t>
  </si>
  <si>
    <t>Transport
($)</t>
  </si>
  <si>
    <t>Accommodation
($)</t>
  </si>
  <si>
    <t>Merchandise
($)</t>
  </si>
  <si>
    <t>Prizes
($)</t>
  </si>
  <si>
    <t>Competitions
Net ($)</t>
  </si>
  <si>
    <t>Incidentals
($)</t>
  </si>
  <si>
    <t>Raw
Total ($)</t>
  </si>
  <si>
    <t>Rounded
Nearest ($)</t>
  </si>
  <si>
    <t>Diff</t>
  </si>
  <si>
    <t>Rank</t>
  </si>
  <si>
    <t>Final Amount
Owed ($)</t>
  </si>
  <si>
    <t>Variance
($)</t>
  </si>
  <si>
    <t>(helper)</t>
  </si>
  <si>
    <t>Charge Tier Breakdown</t>
  </si>
  <si>
    <t>Amount ($)</t>
  </si>
  <si>
    <t># Players</t>
  </si>
  <si>
    <t>Payments Tracker</t>
  </si>
  <si>
    <t>Standard Deposit Amount ($)</t>
  </si>
  <si>
    <t>Default Deposit Type</t>
  </si>
  <si>
    <t>Refundable</t>
  </si>
  <si>
    <t>Deposit Due Date</t>
  </si>
  <si>
    <t>Full Payment Due Date</t>
  </si>
  <si>
    <t>Total Amount Due - trip cost + incidentals ($)</t>
  </si>
  <si>
    <t>Total Amount Paid to Date - net of refunds ($)</t>
  </si>
  <si>
    <t>Total Outstanding Balance ($)</t>
  </si>
  <si>
    <t>Total Deposits Refunded ($)</t>
  </si>
  <si>
    <t>Total Trip
Cost Owed ($)</t>
  </si>
  <si>
    <t>Deposit
Due ($)</t>
  </si>
  <si>
    <t>Deposit
Type</t>
  </si>
  <si>
    <t>Deposit
Paid ($)</t>
  </si>
  <si>
    <t>Deposit
Paid Date</t>
  </si>
  <si>
    <t>Deposit
Refunded ($)</t>
  </si>
  <si>
    <t>Balance Due
(Full Payment) ($)</t>
  </si>
  <si>
    <t>Full Payment
Paid ($)</t>
  </si>
  <si>
    <t>Full Payment
Date</t>
  </si>
  <si>
    <t>Add'l Incidentals
Charged ($)</t>
  </si>
  <si>
    <t>Add'l Incidentals
Paid ($)</t>
  </si>
  <si>
    <t>Total Amount
Due ($)</t>
  </si>
  <si>
    <t>Total Amount
Paid ($)</t>
  </si>
  <si>
    <t>Balance
Outstanding ($)</t>
  </si>
  <si>
    <t>Payment
Status</t>
  </si>
  <si>
    <t xml:space="preserve">A free tool from golfscore.club — golf tournament scoring, your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</si>
</sst>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;\(\$#,##0.00\);&quot;-&quot;"/>
    <numFmt numFmtId="165" formatCode="0.00;\(0.00\);&quot;-&quot;"/>
    <numFmt numFmtId="166" formatCode="dd/mm/yyyy"/>
  </numFmts>
  <fonts count="9" x14ac:knownFonts="1">
    <font>
      <sz val="11"/>
      <color theme="1"/>
      <name val="Calibri"/>
      <family val="2"/>
      <scheme val="minor"/>
    </font>
    <font>
      <b/>
      <sz val="14"/>
      <name val="Arial"/>
    </font>
    <font>
      <sz val="11"/>
      <name val="Arial"/>
    </font>
    <font>
      <b/>
      <sz val="11"/>
      <name val="Arial"/>
    </font>
    <font>
      <sz val="11"/>
      <color rgb="FF0000FF"/>
      <name val="Arial"/>
    </font>
    <font>
      <sz val="11"/>
      <color rgb="FF000000"/>
      <name val="Arial"/>
    </font>
    <font>
      <b/>
      <sz val="11"/>
      <color rgb="FFFFFFFF"/>
      <name val="Arial"/>
    </font>
    <font>
      <sz val="11"/>
      <color rgb="FF008000"/>
      <name val="Arial"/>
    </font>
    <font>
      <i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D2B"/>
        <bgColor rgb="FF1F3D2B"/>
      </patternFill>
    </fill>
    <fill>
      <patternFill patternType="solid">
        <fgColor rgb="FFBDD7EE"/>
        <bgColor rgb="FFBDD7EE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2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/>
    <xf numFmtId="0" fontId="7" fillId="0" borderId="1" xfId="0" applyFont="1" applyBorder="1"/>
    <xf numFmtId="164" fontId="5" fillId="0" borderId="1" xfId="0" applyNumberFormat="1" applyFont="1" applyBorder="1"/>
    <xf numFmtId="0" fontId="3" fillId="4" borderId="0" xfId="0" applyFont="1" applyFill="1"/>
    <xf numFmtId="164" fontId="3" fillId="4" borderId="1" xfId="0" applyNumberFormat="1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165" fontId="4" fillId="0" borderId="1" xfId="0" applyNumberFormat="1" applyFont="1" applyBorder="1"/>
    <xf numFmtId="0" fontId="8" fillId="0" borderId="0" xfId="0" applyFont="1" applyAlignment="1">
      <alignment wrapText="1"/>
    </xf>
    <xf numFmtId="0" fontId="0" fillId="4" borderId="0" xfId="0" applyFill="1"/>
    <xf numFmtId="164" fontId="7" fillId="0" borderId="1" xfId="0" applyNumberFormat="1" applyFont="1" applyBorder="1"/>
    <xf numFmtId="164" fontId="4" fillId="2" borderId="1" xfId="0" applyNumberFormat="1" applyFont="1" applyFill="1" applyBorder="1"/>
    <xf numFmtId="166" fontId="4" fillId="0" borderId="1" xfId="0" applyNumberFormat="1" applyFont="1" applyBorder="1"/>
  </cellXfs>
  <cellStyles count="1">
    <cellStyle name="Normal" xfId="0" builtinId="0"/>
  </cellStyles>
  <dxfs count="3">
    <dxf>
      <font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color rgb="FF9C0006"/>
        <name val="Arial"/>
      </font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lfscore.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1"/>
  <sheetViews>
    <sheetView showGridLines="0" tabSelected="1" workbookViewId="0"/>
  </sheetViews>
  <sheetFormatPr defaultRowHeight="14.25" x14ac:dyDescent="0.45"/>
  <cols>
    <col min="1" max="1" width="110" customWidth="1"/>
  </cols>
  <sheetData>
    <row r="1" spans="1:1" ht="17.649999999999999" x14ac:dyDescent="0.5">
      <c r="A1" s="1" t="s">
        <v>0</v>
      </c>
    </row>
    <row r="2" spans="1:1" x14ac:dyDescent="0.45">
      <c r="A2" s="2" t="s">
        <v>165</v>
      </c>
    </row>
    <row r="3" spans="1:1" x14ac:dyDescent="0.45">
      <c r="A3" s="3" t="s">
        <v>1</v>
      </c>
    </row>
    <row r="4" spans="1:1" x14ac:dyDescent="0.45">
      <c r="A4" s="2" t="s">
        <v>2</v>
      </c>
    </row>
    <row r="5" spans="1:1" x14ac:dyDescent="0.45">
      <c r="A5" s="2" t="s">
        <v>3</v>
      </c>
    </row>
    <row r="6" spans="1:1" x14ac:dyDescent="0.45">
      <c r="A6" s="2"/>
    </row>
    <row r="7" spans="1:1" x14ac:dyDescent="0.45">
      <c r="A7" s="3" t="s">
        <v>4</v>
      </c>
    </row>
    <row r="8" spans="1:1" x14ac:dyDescent="0.45">
      <c r="A8" s="3" t="s">
        <v>5</v>
      </c>
    </row>
    <row r="9" spans="1:1" x14ac:dyDescent="0.45">
      <c r="A9" s="3" t="s">
        <v>6</v>
      </c>
    </row>
    <row r="10" spans="1:1" x14ac:dyDescent="0.45">
      <c r="A10" s="2" t="s">
        <v>7</v>
      </c>
    </row>
    <row r="11" spans="1:1" x14ac:dyDescent="0.45">
      <c r="A11" s="2" t="s">
        <v>8</v>
      </c>
    </row>
    <row r="12" spans="1:1" x14ac:dyDescent="0.45">
      <c r="A12" s="3" t="s">
        <v>9</v>
      </c>
    </row>
    <row r="13" spans="1:1" x14ac:dyDescent="0.45">
      <c r="A13" s="2" t="s">
        <v>10</v>
      </c>
    </row>
    <row r="14" spans="1:1" x14ac:dyDescent="0.45">
      <c r="A14" s="2" t="s">
        <v>11</v>
      </c>
    </row>
    <row r="15" spans="1:1" x14ac:dyDescent="0.45">
      <c r="A15" s="2" t="s">
        <v>12</v>
      </c>
    </row>
    <row r="16" spans="1:1" x14ac:dyDescent="0.45">
      <c r="A16" s="2" t="s">
        <v>13</v>
      </c>
    </row>
    <row r="17" spans="1:1" x14ac:dyDescent="0.45">
      <c r="A17" s="3" t="s">
        <v>14</v>
      </c>
    </row>
    <row r="18" spans="1:1" x14ac:dyDescent="0.45">
      <c r="A18" s="2" t="s">
        <v>15</v>
      </c>
    </row>
    <row r="19" spans="1:1" x14ac:dyDescent="0.45">
      <c r="A19" s="3" t="s">
        <v>16</v>
      </c>
    </row>
    <row r="20" spans="1:1" x14ac:dyDescent="0.45">
      <c r="A20" s="3" t="s">
        <v>17</v>
      </c>
    </row>
    <row r="21" spans="1:1" x14ac:dyDescent="0.45">
      <c r="A21" s="2" t="s">
        <v>18</v>
      </c>
    </row>
    <row r="22" spans="1:1" x14ac:dyDescent="0.45">
      <c r="A22" s="2" t="s">
        <v>19</v>
      </c>
    </row>
    <row r="23" spans="1:1" x14ac:dyDescent="0.45">
      <c r="A23" s="3" t="s">
        <v>20</v>
      </c>
    </row>
    <row r="24" spans="1:1" x14ac:dyDescent="0.45">
      <c r="A24" s="2" t="s">
        <v>21</v>
      </c>
    </row>
    <row r="25" spans="1:1" x14ac:dyDescent="0.45">
      <c r="A25" s="3" t="s">
        <v>22</v>
      </c>
    </row>
    <row r="26" spans="1:1" x14ac:dyDescent="0.45">
      <c r="A26" s="2" t="s">
        <v>23</v>
      </c>
    </row>
    <row r="27" spans="1:1" x14ac:dyDescent="0.45">
      <c r="A27" s="2" t="s">
        <v>24</v>
      </c>
    </row>
    <row r="28" spans="1:1" x14ac:dyDescent="0.45">
      <c r="A28" s="2" t="s">
        <v>25</v>
      </c>
    </row>
    <row r="29" spans="1:1" x14ac:dyDescent="0.45">
      <c r="A29" s="2"/>
    </row>
    <row r="30" spans="1:1" x14ac:dyDescent="0.45">
      <c r="A30" s="2" t="s">
        <v>26</v>
      </c>
    </row>
    <row r="31" spans="1:1" x14ac:dyDescent="0.45">
      <c r="A31" s="2" t="s">
        <v>27</v>
      </c>
    </row>
  </sheetData>
  <hyperlinks>
    <hyperlink ref="A2" r:id="rId1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showGridLines="0" workbookViewId="0"/>
  </sheetViews>
  <sheetFormatPr defaultRowHeight="14.25" x14ac:dyDescent="0.45"/>
  <cols>
    <col min="1" max="1" width="8" customWidth="1"/>
    <col min="2" max="2" width="30" customWidth="1"/>
    <col min="3" max="3" width="16" customWidth="1"/>
    <col min="4" max="4" width="22" customWidth="1"/>
  </cols>
  <sheetData>
    <row r="1" spans="1:4" x14ac:dyDescent="0.45">
      <c r="A1" s="8" t="s">
        <v>63</v>
      </c>
      <c r="B1" s="8" t="s">
        <v>64</v>
      </c>
      <c r="C1" s="8" t="s">
        <v>98</v>
      </c>
    </row>
    <row r="2" spans="1:4" x14ac:dyDescent="0.45">
      <c r="A2" s="6">
        <v>1</v>
      </c>
      <c r="B2" s="5" t="s">
        <v>113</v>
      </c>
      <c r="C2" s="9">
        <v>250</v>
      </c>
    </row>
    <row r="3" spans="1:4" x14ac:dyDescent="0.45">
      <c r="A3" s="6">
        <v>2</v>
      </c>
      <c r="B3" s="5" t="s">
        <v>114</v>
      </c>
      <c r="C3" s="9">
        <v>300</v>
      </c>
    </row>
    <row r="4" spans="1:4" x14ac:dyDescent="0.45">
      <c r="A4" s="6">
        <v>3</v>
      </c>
      <c r="B4" s="5"/>
      <c r="C4" s="9"/>
    </row>
    <row r="5" spans="1:4" x14ac:dyDescent="0.45">
      <c r="A5" s="6">
        <v>4</v>
      </c>
      <c r="B5" s="5"/>
      <c r="C5" s="9"/>
    </row>
    <row r="6" spans="1:4" x14ac:dyDescent="0.45">
      <c r="A6" s="6">
        <v>5</v>
      </c>
      <c r="B6" s="5"/>
      <c r="C6" s="9"/>
    </row>
    <row r="7" spans="1:4" x14ac:dyDescent="0.45">
      <c r="A7" s="6">
        <v>6</v>
      </c>
      <c r="B7" s="5"/>
      <c r="C7" s="9"/>
    </row>
    <row r="8" spans="1:4" x14ac:dyDescent="0.45">
      <c r="A8" s="6">
        <v>7</v>
      </c>
      <c r="B8" s="5"/>
      <c r="C8" s="9"/>
    </row>
    <row r="9" spans="1:4" x14ac:dyDescent="0.45">
      <c r="A9" s="6">
        <v>8</v>
      </c>
      <c r="B9" s="5"/>
      <c r="C9" s="9"/>
    </row>
    <row r="10" spans="1:4" x14ac:dyDescent="0.45">
      <c r="A10" s="6">
        <v>9</v>
      </c>
      <c r="B10" s="5"/>
      <c r="C10" s="9"/>
    </row>
    <row r="11" spans="1:4" x14ac:dyDescent="0.45">
      <c r="A11" s="6">
        <v>10</v>
      </c>
      <c r="B11" s="5"/>
      <c r="C11" s="9"/>
    </row>
    <row r="12" spans="1:4" x14ac:dyDescent="0.45">
      <c r="A12" s="6">
        <v>11</v>
      </c>
      <c r="B12" s="5"/>
      <c r="C12" s="9"/>
    </row>
    <row r="13" spans="1:4" x14ac:dyDescent="0.45">
      <c r="A13" s="6">
        <v>12</v>
      </c>
      <c r="B13" s="5"/>
      <c r="C13" s="9"/>
    </row>
    <row r="14" spans="1:4" x14ac:dyDescent="0.45">
      <c r="B14" s="4" t="s">
        <v>102</v>
      </c>
    </row>
    <row r="15" spans="1:4" x14ac:dyDescent="0.45">
      <c r="A15" s="12" t="s">
        <v>62</v>
      </c>
      <c r="B15" s="18"/>
      <c r="C15" s="13">
        <f>SUM(C2:C13)</f>
        <v>550</v>
      </c>
      <c r="D15" s="11">
        <f>IF(Setup!$B$4=0,0,C15/Setup!$B$4)</f>
        <v>68.75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66"/>
  <sheetViews>
    <sheetView showGridLines="0" workbookViewId="0">
      <pane xSplit="2" ySplit="10" topLeftCell="C11" activePane="bottomRight" state="frozen"/>
      <selection pane="topRight"/>
      <selection pane="bottomLeft"/>
      <selection pane="bottomRight" activeCell="A3" sqref="A3"/>
    </sheetView>
  </sheetViews>
  <sheetFormatPr defaultRowHeight="14.25" x14ac:dyDescent="0.45"/>
  <cols>
    <col min="1" max="1" width="10" customWidth="1"/>
    <col min="2" max="2" width="22" customWidth="1"/>
    <col min="3" max="9" width="15" customWidth="1"/>
    <col min="10" max="11" width="14" customWidth="1"/>
    <col min="12" max="12" width="12" customWidth="1"/>
    <col min="13" max="13" width="8" customWidth="1"/>
    <col min="14" max="14" width="14" customWidth="1"/>
    <col min="15" max="15" width="12" customWidth="1"/>
    <col min="16" max="16" width="2" customWidth="1"/>
  </cols>
  <sheetData>
    <row r="1" spans="1:17" ht="17.649999999999999" x14ac:dyDescent="0.5">
      <c r="A1" s="1" t="s">
        <v>115</v>
      </c>
    </row>
    <row r="3" spans="1:17" x14ac:dyDescent="0.45">
      <c r="A3" s="4" t="s">
        <v>116</v>
      </c>
      <c r="B3" s="11">
        <f>SUM(J11:J42)</f>
        <v>15510</v>
      </c>
    </row>
    <row r="4" spans="1:17" x14ac:dyDescent="0.45">
      <c r="A4" s="4" t="s">
        <v>117</v>
      </c>
      <c r="B4" s="11">
        <f>SUM(N11:N42)</f>
        <v>15550</v>
      </c>
    </row>
    <row r="5" spans="1:17" x14ac:dyDescent="0.45">
      <c r="A5" s="4" t="s">
        <v>118</v>
      </c>
      <c r="B5" s="11">
        <f>B4-B3</f>
        <v>40</v>
      </c>
    </row>
    <row r="6" spans="1:17" x14ac:dyDescent="0.45">
      <c r="A6" s="4" t="s">
        <v>119</v>
      </c>
      <c r="B6" s="6">
        <f>IF(B3-SUM(K11:K42)&lt;=0,0,ROUNDUP((B3-SUM(K11:K42))/Setup!$B$6,0))</f>
        <v>0</v>
      </c>
    </row>
    <row r="7" spans="1:17" x14ac:dyDescent="0.45">
      <c r="A7" s="4" t="s">
        <v>120</v>
      </c>
      <c r="B7" s="6">
        <f>SUMPRODUCT((Q11:Q42&lt;&gt;"")/COUNTIF(Q11:Q42,Q11:Q42&amp;""))</f>
        <v>6</v>
      </c>
    </row>
    <row r="10" spans="1:17" ht="41.65" x14ac:dyDescent="0.45">
      <c r="A10" s="8" t="s">
        <v>121</v>
      </c>
      <c r="B10" s="8" t="s">
        <v>122</v>
      </c>
      <c r="C10" s="8" t="s">
        <v>123</v>
      </c>
      <c r="D10" s="8" t="s">
        <v>124</v>
      </c>
      <c r="E10" s="8" t="s">
        <v>125</v>
      </c>
      <c r="F10" s="8" t="s">
        <v>126</v>
      </c>
      <c r="G10" s="8" t="s">
        <v>127</v>
      </c>
      <c r="H10" s="8" t="s">
        <v>128</v>
      </c>
      <c r="I10" s="8" t="s">
        <v>129</v>
      </c>
      <c r="J10" s="8" t="s">
        <v>130</v>
      </c>
      <c r="K10" s="8" t="s">
        <v>131</v>
      </c>
      <c r="L10" s="8" t="s">
        <v>132</v>
      </c>
      <c r="M10" s="8" t="s">
        <v>133</v>
      </c>
      <c r="N10" s="8" t="s">
        <v>134</v>
      </c>
      <c r="O10" s="8" t="s">
        <v>135</v>
      </c>
      <c r="Q10" s="14" t="s">
        <v>136</v>
      </c>
    </row>
    <row r="11" spans="1:17" x14ac:dyDescent="0.45">
      <c r="A11" s="10">
        <f>Players!A2</f>
        <v>1</v>
      </c>
      <c r="B11" s="10" t="str">
        <f>Players!B2</f>
        <v>Alex Thompson</v>
      </c>
      <c r="C11" s="19">
        <f>Rounds!$K$15</f>
        <v>740</v>
      </c>
      <c r="D11" s="19">
        <f>Transport!N20</f>
        <v>0</v>
      </c>
      <c r="E11" s="19">
        <f>Accommodation!V27</f>
        <v>1400</v>
      </c>
      <c r="F11" s="19">
        <f>Merchandise!N18</f>
        <v>70</v>
      </c>
      <c r="G11" s="19">
        <f>Prizes!$D$15</f>
        <v>108.75</v>
      </c>
      <c r="H11" s="19">
        <f>Competitions!I12</f>
        <v>70</v>
      </c>
      <c r="I11" s="19">
        <f>Incidentals!$D$15</f>
        <v>68.75</v>
      </c>
      <c r="J11" s="11">
        <f>IF(Players!$B$2="",0,SUM(C11:I11))</f>
        <v>2457.5</v>
      </c>
      <c r="K11" s="11">
        <f>IF(Players!$B$2="",0,MROUND(J11,Setup!$B$6))</f>
        <v>2450</v>
      </c>
      <c r="L11" s="11">
        <f>IF(Players!$B$2="",999999,K11-J11)</f>
        <v>-7.5</v>
      </c>
      <c r="M11" s="6">
        <f>_xlfn.RANK.EQ(L11,$L$11:$L$42,1)+COUNTIF($L$11:L11,L11)-1</f>
        <v>2</v>
      </c>
      <c r="N11" s="11">
        <f>IF(Players!$B$2="",0,IF(M11&lt;=Summary!$B$6,K11+Setup!$B$6,K11))</f>
        <v>2450</v>
      </c>
      <c r="O11" s="11">
        <f>IF(Players!$B$2="",0,N11-J11)</f>
        <v>-7.5</v>
      </c>
      <c r="Q11" s="11">
        <f>IF(Players!$B$2="","",N11)</f>
        <v>2450</v>
      </c>
    </row>
    <row r="12" spans="1:17" x14ac:dyDescent="0.45">
      <c r="A12" s="10">
        <f>Players!A3</f>
        <v>2</v>
      </c>
      <c r="B12" s="10" t="str">
        <f>Players!B3</f>
        <v>Ben Carter</v>
      </c>
      <c r="C12" s="19">
        <f>Rounds!$K$15</f>
        <v>740</v>
      </c>
      <c r="D12" s="19">
        <f>Transport!N21</f>
        <v>0</v>
      </c>
      <c r="E12" s="19">
        <f>Accommodation!V28</f>
        <v>1020</v>
      </c>
      <c r="F12" s="19">
        <f>Merchandise!N19</f>
        <v>70</v>
      </c>
      <c r="G12" s="19">
        <f>Prizes!$D$15</f>
        <v>108.75</v>
      </c>
      <c r="H12" s="19">
        <f>Competitions!I13</f>
        <v>-90</v>
      </c>
      <c r="I12" s="19">
        <f>Incidentals!$D$15</f>
        <v>68.75</v>
      </c>
      <c r="J12" s="11">
        <f>IF(Players!$B$3="",0,SUM(C12:I12))</f>
        <v>1917.5</v>
      </c>
      <c r="K12" s="11">
        <f>IF(Players!$B$3="",0,MROUND(J12,Setup!$B$6))</f>
        <v>1900</v>
      </c>
      <c r="L12" s="11">
        <f>IF(Players!$B$3="",999999,K12-J12)</f>
        <v>-17.5</v>
      </c>
      <c r="M12" s="6">
        <f>_xlfn.RANK.EQ(L12,$L$11:$L$42,1)+COUNTIF($L$11:L12,L12)-1</f>
        <v>1</v>
      </c>
      <c r="N12" s="11">
        <f>IF(Players!$B$3="",0,IF(M12&lt;=Summary!$B$6,K12+Setup!$B$6,K12))</f>
        <v>1900</v>
      </c>
      <c r="O12" s="11">
        <f>IF(Players!$B$3="",0,N12-J12)</f>
        <v>-17.5</v>
      </c>
      <c r="Q12" s="11">
        <f>IF(Players!$B$3="","",N12)</f>
        <v>1900</v>
      </c>
    </row>
    <row r="13" spans="1:17" x14ac:dyDescent="0.45">
      <c r="A13" s="10">
        <f>Players!A4</f>
        <v>3</v>
      </c>
      <c r="B13" s="10" t="str">
        <f>Players!B4</f>
        <v>Chris Nguyen</v>
      </c>
      <c r="C13" s="19">
        <f>Rounds!$K$15</f>
        <v>740</v>
      </c>
      <c r="D13" s="19">
        <f>Transport!N22</f>
        <v>0</v>
      </c>
      <c r="E13" s="19">
        <f>Accommodation!V29</f>
        <v>1020</v>
      </c>
      <c r="F13" s="19">
        <f>Merchandise!N20</f>
        <v>70</v>
      </c>
      <c r="G13" s="19">
        <f>Prizes!$D$15</f>
        <v>108.75</v>
      </c>
      <c r="H13" s="19">
        <f>Competitions!I14</f>
        <v>-330</v>
      </c>
      <c r="I13" s="19">
        <f>Incidentals!$D$15</f>
        <v>68.75</v>
      </c>
      <c r="J13" s="11">
        <f>IF(Players!$B$4="",0,SUM(C13:I13))</f>
        <v>1677.5</v>
      </c>
      <c r="K13" s="11">
        <f>IF(Players!$B$4="",0,MROUND(J13,Setup!$B$6))</f>
        <v>1700</v>
      </c>
      <c r="L13" s="11">
        <f>IF(Players!$B$4="",999999,K13-J13)</f>
        <v>22.5</v>
      </c>
      <c r="M13" s="6">
        <f>_xlfn.RANK.EQ(L13,$L$11:$L$42,1)+COUNTIF($L$11:L13,L13)-1</f>
        <v>6</v>
      </c>
      <c r="N13" s="11">
        <f>IF(Players!$B$4="",0,IF(M13&lt;=Summary!$B$6,K13+Setup!$B$6,K13))</f>
        <v>1700</v>
      </c>
      <c r="O13" s="11">
        <f>IF(Players!$B$4="",0,N13-J13)</f>
        <v>22.5</v>
      </c>
      <c r="Q13" s="11">
        <f>IF(Players!$B$4="","",N13)</f>
        <v>1700</v>
      </c>
    </row>
    <row r="14" spans="1:17" x14ac:dyDescent="0.45">
      <c r="A14" s="10">
        <f>Players!A5</f>
        <v>4</v>
      </c>
      <c r="B14" s="10" t="str">
        <f>Players!B5</f>
        <v>Dave Patel</v>
      </c>
      <c r="C14" s="19">
        <f>Rounds!$K$15</f>
        <v>740</v>
      </c>
      <c r="D14" s="19">
        <f>Transport!N23</f>
        <v>0</v>
      </c>
      <c r="E14" s="19">
        <f>Accommodation!V30</f>
        <v>1020</v>
      </c>
      <c r="F14" s="19">
        <f>Merchandise!N21</f>
        <v>70</v>
      </c>
      <c r="G14" s="19">
        <f>Prizes!$D$15</f>
        <v>108.75</v>
      </c>
      <c r="H14" s="19">
        <f>Competitions!I15</f>
        <v>70</v>
      </c>
      <c r="I14" s="19">
        <f>Incidentals!$D$15</f>
        <v>68.75</v>
      </c>
      <c r="J14" s="11">
        <f>IF(Players!$B$5="",0,SUM(C14:I14))</f>
        <v>2077.5</v>
      </c>
      <c r="K14" s="11">
        <f>IF(Players!$B$5="",0,MROUND(J14,Setup!$B$6))</f>
        <v>2100</v>
      </c>
      <c r="L14" s="11">
        <f>IF(Players!$B$5="",999999,K14-J14)</f>
        <v>22.5</v>
      </c>
      <c r="M14" s="6">
        <f>_xlfn.RANK.EQ(L14,$L$11:$L$42,1)+COUNTIF($L$11:L14,L14)-1</f>
        <v>7</v>
      </c>
      <c r="N14" s="11">
        <f>IF(Players!$B$5="",0,IF(M14&lt;=Summary!$B$6,K14+Setup!$B$6,K14))</f>
        <v>2100</v>
      </c>
      <c r="O14" s="11">
        <f>IF(Players!$B$5="",0,N14-J14)</f>
        <v>22.5</v>
      </c>
      <c r="Q14" s="11">
        <f>IF(Players!$B$5="","",N14)</f>
        <v>2100</v>
      </c>
    </row>
    <row r="15" spans="1:17" x14ac:dyDescent="0.45">
      <c r="A15" s="10">
        <f>Players!A6</f>
        <v>5</v>
      </c>
      <c r="B15" s="10" t="str">
        <f>Players!B6</f>
        <v>Ethan Wright</v>
      </c>
      <c r="C15" s="19">
        <f>Rounds!$K$15</f>
        <v>740</v>
      </c>
      <c r="D15" s="19">
        <f>Transport!N24</f>
        <v>0</v>
      </c>
      <c r="E15" s="19">
        <f>Accommodation!V31</f>
        <v>1020</v>
      </c>
      <c r="F15" s="19">
        <f>Merchandise!N22</f>
        <v>70</v>
      </c>
      <c r="G15" s="19">
        <f>Prizes!$D$15</f>
        <v>108.75</v>
      </c>
      <c r="H15" s="19">
        <f>Competitions!I16</f>
        <v>70</v>
      </c>
      <c r="I15" s="19">
        <f>Incidentals!$D$15</f>
        <v>68.75</v>
      </c>
      <c r="J15" s="11">
        <f>IF(Players!$B$6="",0,SUM(C15:I15))</f>
        <v>2077.5</v>
      </c>
      <c r="K15" s="11">
        <f>IF(Players!$B$6="",0,MROUND(J15,Setup!$B$6))</f>
        <v>2100</v>
      </c>
      <c r="L15" s="11">
        <f>IF(Players!$B$6="",999999,K15-J15)</f>
        <v>22.5</v>
      </c>
      <c r="M15" s="6">
        <f>_xlfn.RANK.EQ(L15,$L$11:$L$42,1)+COUNTIF($L$11:L15,L15)-1</f>
        <v>8</v>
      </c>
      <c r="N15" s="11">
        <f>IF(Players!$B$6="",0,IF(M15&lt;=Summary!$B$6,K15+Setup!$B$6,K15))</f>
        <v>2100</v>
      </c>
      <c r="O15" s="11">
        <f>IF(Players!$B$6="",0,N15-J15)</f>
        <v>22.5</v>
      </c>
      <c r="Q15" s="11">
        <f>IF(Players!$B$6="","",N15)</f>
        <v>2100</v>
      </c>
    </row>
    <row r="16" spans="1:17" x14ac:dyDescent="0.45">
      <c r="A16" s="10">
        <f>Players!A7</f>
        <v>6</v>
      </c>
      <c r="B16" s="10" t="str">
        <f>Players!B7</f>
        <v>Frank Lopez</v>
      </c>
      <c r="C16" s="19">
        <f>Rounds!$K$15</f>
        <v>740</v>
      </c>
      <c r="D16" s="19">
        <f>Transport!N25</f>
        <v>0</v>
      </c>
      <c r="E16" s="19">
        <f>Accommodation!V32</f>
        <v>1020</v>
      </c>
      <c r="F16" s="19">
        <f>Merchandise!N23</f>
        <v>0</v>
      </c>
      <c r="G16" s="19">
        <f>Prizes!$D$15</f>
        <v>108.75</v>
      </c>
      <c r="H16" s="19">
        <f>Competitions!I17</f>
        <v>70</v>
      </c>
      <c r="I16" s="19">
        <f>Incidentals!$D$15</f>
        <v>68.75</v>
      </c>
      <c r="J16" s="11">
        <f>IF(Players!$B$7="",0,SUM(C16:I16))</f>
        <v>2007.5</v>
      </c>
      <c r="K16" s="11">
        <f>IF(Players!$B$7="",0,MROUND(J16,Setup!$B$6))</f>
        <v>2000</v>
      </c>
      <c r="L16" s="11">
        <f>IF(Players!$B$7="",999999,K16-J16)</f>
        <v>-7.5</v>
      </c>
      <c r="M16" s="6">
        <f>_xlfn.RANK.EQ(L16,$L$11:$L$42,1)+COUNTIF($L$11:L16,L16)-1</f>
        <v>3</v>
      </c>
      <c r="N16" s="11">
        <f>IF(Players!$B$7="",0,IF(M16&lt;=Summary!$B$6,K16+Setup!$B$6,K16))</f>
        <v>2000</v>
      </c>
      <c r="O16" s="11">
        <f>IF(Players!$B$7="",0,N16-J16)</f>
        <v>-7.5</v>
      </c>
      <c r="Q16" s="11">
        <f>IF(Players!$B$7="","",N16)</f>
        <v>2000</v>
      </c>
    </row>
    <row r="17" spans="1:17" x14ac:dyDescent="0.45">
      <c r="A17" s="10">
        <f>Players!A8</f>
        <v>7</v>
      </c>
      <c r="B17" s="10" t="str">
        <f>Players!B8</f>
        <v>George Kim</v>
      </c>
      <c r="C17" s="19">
        <f>Rounds!$K$15</f>
        <v>740</v>
      </c>
      <c r="D17" s="19">
        <f>Transport!N26</f>
        <v>0</v>
      </c>
      <c r="E17" s="19">
        <f>Accommodation!V33</f>
        <v>660</v>
      </c>
      <c r="F17" s="19">
        <f>Merchandise!N24</f>
        <v>0</v>
      </c>
      <c r="G17" s="19">
        <f>Prizes!$D$15</f>
        <v>108.75</v>
      </c>
      <c r="H17" s="19">
        <f>Competitions!I18</f>
        <v>70</v>
      </c>
      <c r="I17" s="19">
        <f>Incidentals!$D$15</f>
        <v>68.75</v>
      </c>
      <c r="J17" s="11">
        <f>IF(Players!$B$8="",0,SUM(C17:I17))</f>
        <v>1647.5</v>
      </c>
      <c r="K17" s="11">
        <f>IF(Players!$B$8="",0,MROUND(J17,Setup!$B$6))</f>
        <v>1650</v>
      </c>
      <c r="L17" s="11">
        <f>IF(Players!$B$8="",999999,K17-J17)</f>
        <v>2.5</v>
      </c>
      <c r="M17" s="6">
        <f>_xlfn.RANK.EQ(L17,$L$11:$L$42,1)+COUNTIF($L$11:L17,L17)-1</f>
        <v>4</v>
      </c>
      <c r="N17" s="11">
        <f>IF(Players!$B$8="",0,IF(M17&lt;=Summary!$B$6,K17+Setup!$B$6,K17))</f>
        <v>1650</v>
      </c>
      <c r="O17" s="11">
        <f>IF(Players!$B$8="",0,N17-J17)</f>
        <v>2.5</v>
      </c>
      <c r="Q17" s="11">
        <f>IF(Players!$B$8="","",N17)</f>
        <v>1650</v>
      </c>
    </row>
    <row r="18" spans="1:17" x14ac:dyDescent="0.45">
      <c r="A18" s="10">
        <f>Players!A9</f>
        <v>8</v>
      </c>
      <c r="B18" s="10" t="str">
        <f>Players!B9</f>
        <v>Harry Singh</v>
      </c>
      <c r="C18" s="19">
        <f>Rounds!$K$15</f>
        <v>740</v>
      </c>
      <c r="D18" s="19">
        <f>Transport!N27</f>
        <v>0</v>
      </c>
      <c r="E18" s="19">
        <f>Accommodation!V34</f>
        <v>660</v>
      </c>
      <c r="F18" s="19">
        <f>Merchandise!N25</f>
        <v>0</v>
      </c>
      <c r="G18" s="19">
        <f>Prizes!$D$15</f>
        <v>108.75</v>
      </c>
      <c r="H18" s="19">
        <f>Competitions!I19</f>
        <v>70</v>
      </c>
      <c r="I18" s="19">
        <f>Incidentals!$D$15</f>
        <v>68.75</v>
      </c>
      <c r="J18" s="11">
        <f>IF(Players!$B$9="",0,SUM(C18:I18))</f>
        <v>1647.5</v>
      </c>
      <c r="K18" s="11">
        <f>IF(Players!$B$9="",0,MROUND(J18,Setup!$B$6))</f>
        <v>1650</v>
      </c>
      <c r="L18" s="11">
        <f>IF(Players!$B$9="",999999,K18-J18)</f>
        <v>2.5</v>
      </c>
      <c r="M18" s="6">
        <f>_xlfn.RANK.EQ(L18,$L$11:$L$42,1)+COUNTIF($L$11:L18,L18)-1</f>
        <v>5</v>
      </c>
      <c r="N18" s="11">
        <f>IF(Players!$B$9="",0,IF(M18&lt;=Summary!$B$6,K18+Setup!$B$6,K18))</f>
        <v>1650</v>
      </c>
      <c r="O18" s="11">
        <f>IF(Players!$B$9="",0,N18-J18)</f>
        <v>2.5</v>
      </c>
      <c r="Q18" s="11">
        <f>IF(Players!$B$9="","",N18)</f>
        <v>1650</v>
      </c>
    </row>
    <row r="19" spans="1:17" x14ac:dyDescent="0.45">
      <c r="A19" s="10">
        <f>Players!A10</f>
        <v>9</v>
      </c>
      <c r="B19" s="10">
        <f>Players!B10</f>
        <v>0</v>
      </c>
      <c r="C19" s="19">
        <f>Rounds!$K$15</f>
        <v>740</v>
      </c>
      <c r="D19" s="19">
        <f>Transport!N28</f>
        <v>0</v>
      </c>
      <c r="E19" s="19">
        <f>Accommodation!V35</f>
        <v>0</v>
      </c>
      <c r="F19" s="19">
        <f>Merchandise!N26</f>
        <v>0</v>
      </c>
      <c r="G19" s="19">
        <f>Prizes!$D$15</f>
        <v>108.75</v>
      </c>
      <c r="H19" s="19">
        <f>Competitions!I20</f>
        <v>0</v>
      </c>
      <c r="I19" s="19">
        <f>Incidentals!$D$15</f>
        <v>68.75</v>
      </c>
      <c r="J19" s="11">
        <f>IF(Players!$B$10="",0,SUM(C19:I19))</f>
        <v>0</v>
      </c>
      <c r="K19" s="11">
        <f>IF(Players!$B$10="",0,MROUND(J19,Setup!$B$6))</f>
        <v>0</v>
      </c>
      <c r="L19" s="11">
        <f>IF(Players!$B$10="",999999,K19-J19)</f>
        <v>999999</v>
      </c>
      <c r="M19" s="6">
        <f>_xlfn.RANK.EQ(L19,$L$11:$L$42,1)+COUNTIF($L$11:L19,L19)-1</f>
        <v>9</v>
      </c>
      <c r="N19" s="11">
        <f>IF(Players!$B$10="",0,IF(M19&lt;=Summary!$B$6,K19+Setup!$B$6,K19))</f>
        <v>0</v>
      </c>
      <c r="O19" s="11">
        <f>IF(Players!$B$10="",0,N19-J19)</f>
        <v>0</v>
      </c>
      <c r="Q19" s="11" t="str">
        <f>IF(Players!$B$10="","",N19)</f>
        <v/>
      </c>
    </row>
    <row r="20" spans="1:17" x14ac:dyDescent="0.45">
      <c r="A20" s="10">
        <f>Players!A11</f>
        <v>10</v>
      </c>
      <c r="B20" s="10">
        <f>Players!B11</f>
        <v>0</v>
      </c>
      <c r="C20" s="19">
        <f>Rounds!$K$15</f>
        <v>740</v>
      </c>
      <c r="D20" s="19">
        <f>Transport!N29</f>
        <v>0</v>
      </c>
      <c r="E20" s="19">
        <f>Accommodation!V36</f>
        <v>0</v>
      </c>
      <c r="F20" s="19">
        <f>Merchandise!N27</f>
        <v>0</v>
      </c>
      <c r="G20" s="19">
        <f>Prizes!$D$15</f>
        <v>108.75</v>
      </c>
      <c r="H20" s="19">
        <f>Competitions!I21</f>
        <v>0</v>
      </c>
      <c r="I20" s="19">
        <f>Incidentals!$D$15</f>
        <v>68.75</v>
      </c>
      <c r="J20" s="11">
        <f>IF(Players!$B$11="",0,SUM(C20:I20))</f>
        <v>0</v>
      </c>
      <c r="K20" s="11">
        <f>IF(Players!$B$11="",0,MROUND(J20,Setup!$B$6))</f>
        <v>0</v>
      </c>
      <c r="L20" s="11">
        <f>IF(Players!$B$11="",999999,K20-J20)</f>
        <v>999999</v>
      </c>
      <c r="M20" s="6">
        <f>_xlfn.RANK.EQ(L20,$L$11:$L$42,1)+COUNTIF($L$11:L20,L20)-1</f>
        <v>10</v>
      </c>
      <c r="N20" s="11">
        <f>IF(Players!$B$11="",0,IF(M20&lt;=Summary!$B$6,K20+Setup!$B$6,K20))</f>
        <v>0</v>
      </c>
      <c r="O20" s="11">
        <f>IF(Players!$B$11="",0,N20-J20)</f>
        <v>0</v>
      </c>
      <c r="Q20" s="11" t="str">
        <f>IF(Players!$B$11="","",N20)</f>
        <v/>
      </c>
    </row>
    <row r="21" spans="1:17" x14ac:dyDescent="0.45">
      <c r="A21" s="10">
        <f>Players!A12</f>
        <v>11</v>
      </c>
      <c r="B21" s="10">
        <f>Players!B12</f>
        <v>0</v>
      </c>
      <c r="C21" s="19">
        <f>Rounds!$K$15</f>
        <v>740</v>
      </c>
      <c r="D21" s="19">
        <f>Transport!N30</f>
        <v>0</v>
      </c>
      <c r="E21" s="19">
        <f>Accommodation!V37</f>
        <v>0</v>
      </c>
      <c r="F21" s="19">
        <f>Merchandise!N28</f>
        <v>0</v>
      </c>
      <c r="G21" s="19">
        <f>Prizes!$D$15</f>
        <v>108.75</v>
      </c>
      <c r="H21" s="19">
        <f>Competitions!I22</f>
        <v>0</v>
      </c>
      <c r="I21" s="19">
        <f>Incidentals!$D$15</f>
        <v>68.75</v>
      </c>
      <c r="J21" s="11">
        <f>IF(Players!$B$12="",0,SUM(C21:I21))</f>
        <v>0</v>
      </c>
      <c r="K21" s="11">
        <f>IF(Players!$B$12="",0,MROUND(J21,Setup!$B$6))</f>
        <v>0</v>
      </c>
      <c r="L21" s="11">
        <f>IF(Players!$B$12="",999999,K21-J21)</f>
        <v>999999</v>
      </c>
      <c r="M21" s="6">
        <f>_xlfn.RANK.EQ(L21,$L$11:$L$42,1)+COUNTIF($L$11:L21,L21)-1</f>
        <v>11</v>
      </c>
      <c r="N21" s="11">
        <f>IF(Players!$B$12="",0,IF(M21&lt;=Summary!$B$6,K21+Setup!$B$6,K21))</f>
        <v>0</v>
      </c>
      <c r="O21" s="11">
        <f>IF(Players!$B$12="",0,N21-J21)</f>
        <v>0</v>
      </c>
      <c r="Q21" s="11" t="str">
        <f>IF(Players!$B$12="","",N21)</f>
        <v/>
      </c>
    </row>
    <row r="22" spans="1:17" x14ac:dyDescent="0.45">
      <c r="A22" s="10">
        <f>Players!A13</f>
        <v>12</v>
      </c>
      <c r="B22" s="10">
        <f>Players!B13</f>
        <v>0</v>
      </c>
      <c r="C22" s="19">
        <f>Rounds!$K$15</f>
        <v>740</v>
      </c>
      <c r="D22" s="19">
        <f>Transport!N31</f>
        <v>0</v>
      </c>
      <c r="E22" s="19">
        <f>Accommodation!V38</f>
        <v>0</v>
      </c>
      <c r="F22" s="19">
        <f>Merchandise!N29</f>
        <v>0</v>
      </c>
      <c r="G22" s="19">
        <f>Prizes!$D$15</f>
        <v>108.75</v>
      </c>
      <c r="H22" s="19">
        <f>Competitions!I23</f>
        <v>0</v>
      </c>
      <c r="I22" s="19">
        <f>Incidentals!$D$15</f>
        <v>68.75</v>
      </c>
      <c r="J22" s="11">
        <f>IF(Players!$B$13="",0,SUM(C22:I22))</f>
        <v>0</v>
      </c>
      <c r="K22" s="11">
        <f>IF(Players!$B$13="",0,MROUND(J22,Setup!$B$6))</f>
        <v>0</v>
      </c>
      <c r="L22" s="11">
        <f>IF(Players!$B$13="",999999,K22-J22)</f>
        <v>999999</v>
      </c>
      <c r="M22" s="6">
        <f>_xlfn.RANK.EQ(L22,$L$11:$L$42,1)+COUNTIF($L$11:L22,L22)-1</f>
        <v>12</v>
      </c>
      <c r="N22" s="11">
        <f>IF(Players!$B$13="",0,IF(M22&lt;=Summary!$B$6,K22+Setup!$B$6,K22))</f>
        <v>0</v>
      </c>
      <c r="O22" s="11">
        <f>IF(Players!$B$13="",0,N22-J22)</f>
        <v>0</v>
      </c>
      <c r="Q22" s="11" t="str">
        <f>IF(Players!$B$13="","",N22)</f>
        <v/>
      </c>
    </row>
    <row r="23" spans="1:17" x14ac:dyDescent="0.45">
      <c r="A23" s="10">
        <f>Players!A14</f>
        <v>13</v>
      </c>
      <c r="B23" s="10">
        <f>Players!B14</f>
        <v>0</v>
      </c>
      <c r="C23" s="19">
        <f>Rounds!$K$15</f>
        <v>740</v>
      </c>
      <c r="D23" s="19">
        <f>Transport!N32</f>
        <v>0</v>
      </c>
      <c r="E23" s="19">
        <f>Accommodation!V39</f>
        <v>0</v>
      </c>
      <c r="F23" s="19">
        <f>Merchandise!N30</f>
        <v>0</v>
      </c>
      <c r="G23" s="19">
        <f>Prizes!$D$15</f>
        <v>108.75</v>
      </c>
      <c r="H23" s="19">
        <f>Competitions!I24</f>
        <v>0</v>
      </c>
      <c r="I23" s="19">
        <f>Incidentals!$D$15</f>
        <v>68.75</v>
      </c>
      <c r="J23" s="11">
        <f>IF(Players!$B$14="",0,SUM(C23:I23))</f>
        <v>0</v>
      </c>
      <c r="K23" s="11">
        <f>IF(Players!$B$14="",0,MROUND(J23,Setup!$B$6))</f>
        <v>0</v>
      </c>
      <c r="L23" s="11">
        <f>IF(Players!$B$14="",999999,K23-J23)</f>
        <v>999999</v>
      </c>
      <c r="M23" s="6">
        <f>_xlfn.RANK.EQ(L23,$L$11:$L$42,1)+COUNTIF($L$11:L23,L23)-1</f>
        <v>13</v>
      </c>
      <c r="N23" s="11">
        <f>IF(Players!$B$14="",0,IF(M23&lt;=Summary!$B$6,K23+Setup!$B$6,K23))</f>
        <v>0</v>
      </c>
      <c r="O23" s="11">
        <f>IF(Players!$B$14="",0,N23-J23)</f>
        <v>0</v>
      </c>
      <c r="Q23" s="11" t="str">
        <f>IF(Players!$B$14="","",N23)</f>
        <v/>
      </c>
    </row>
    <row r="24" spans="1:17" x14ac:dyDescent="0.45">
      <c r="A24" s="10">
        <f>Players!A15</f>
        <v>14</v>
      </c>
      <c r="B24" s="10">
        <f>Players!B15</f>
        <v>0</v>
      </c>
      <c r="C24" s="19">
        <f>Rounds!$K$15</f>
        <v>740</v>
      </c>
      <c r="D24" s="19">
        <f>Transport!N33</f>
        <v>0</v>
      </c>
      <c r="E24" s="19">
        <f>Accommodation!V40</f>
        <v>0</v>
      </c>
      <c r="F24" s="19">
        <f>Merchandise!N31</f>
        <v>0</v>
      </c>
      <c r="G24" s="19">
        <f>Prizes!$D$15</f>
        <v>108.75</v>
      </c>
      <c r="H24" s="19">
        <f>Competitions!I25</f>
        <v>0</v>
      </c>
      <c r="I24" s="19">
        <f>Incidentals!$D$15</f>
        <v>68.75</v>
      </c>
      <c r="J24" s="11">
        <f>IF(Players!$B$15="",0,SUM(C24:I24))</f>
        <v>0</v>
      </c>
      <c r="K24" s="11">
        <f>IF(Players!$B$15="",0,MROUND(J24,Setup!$B$6))</f>
        <v>0</v>
      </c>
      <c r="L24" s="11">
        <f>IF(Players!$B$15="",999999,K24-J24)</f>
        <v>999999</v>
      </c>
      <c r="M24" s="6">
        <f>_xlfn.RANK.EQ(L24,$L$11:$L$42,1)+COUNTIF($L$11:L24,L24)-1</f>
        <v>14</v>
      </c>
      <c r="N24" s="11">
        <f>IF(Players!$B$15="",0,IF(M24&lt;=Summary!$B$6,K24+Setup!$B$6,K24))</f>
        <v>0</v>
      </c>
      <c r="O24" s="11">
        <f>IF(Players!$B$15="",0,N24-J24)</f>
        <v>0</v>
      </c>
      <c r="Q24" s="11" t="str">
        <f>IF(Players!$B$15="","",N24)</f>
        <v/>
      </c>
    </row>
    <row r="25" spans="1:17" x14ac:dyDescent="0.45">
      <c r="A25" s="10">
        <f>Players!A16</f>
        <v>15</v>
      </c>
      <c r="B25" s="10">
        <f>Players!B16</f>
        <v>0</v>
      </c>
      <c r="C25" s="19">
        <f>Rounds!$K$15</f>
        <v>740</v>
      </c>
      <c r="D25" s="19">
        <f>Transport!N34</f>
        <v>0</v>
      </c>
      <c r="E25" s="19">
        <f>Accommodation!V41</f>
        <v>0</v>
      </c>
      <c r="F25" s="19">
        <f>Merchandise!N32</f>
        <v>0</v>
      </c>
      <c r="G25" s="19">
        <f>Prizes!$D$15</f>
        <v>108.75</v>
      </c>
      <c r="H25" s="19">
        <f>Competitions!I26</f>
        <v>0</v>
      </c>
      <c r="I25" s="19">
        <f>Incidentals!$D$15</f>
        <v>68.75</v>
      </c>
      <c r="J25" s="11">
        <f>IF(Players!$B$16="",0,SUM(C25:I25))</f>
        <v>0</v>
      </c>
      <c r="K25" s="11">
        <f>IF(Players!$B$16="",0,MROUND(J25,Setup!$B$6))</f>
        <v>0</v>
      </c>
      <c r="L25" s="11">
        <f>IF(Players!$B$16="",999999,K25-J25)</f>
        <v>999999</v>
      </c>
      <c r="M25" s="6">
        <f>_xlfn.RANK.EQ(L25,$L$11:$L$42,1)+COUNTIF($L$11:L25,L25)-1</f>
        <v>15</v>
      </c>
      <c r="N25" s="11">
        <f>IF(Players!$B$16="",0,IF(M25&lt;=Summary!$B$6,K25+Setup!$B$6,K25))</f>
        <v>0</v>
      </c>
      <c r="O25" s="11">
        <f>IF(Players!$B$16="",0,N25-J25)</f>
        <v>0</v>
      </c>
      <c r="Q25" s="11" t="str">
        <f>IF(Players!$B$16="","",N25)</f>
        <v/>
      </c>
    </row>
    <row r="26" spans="1:17" x14ac:dyDescent="0.45">
      <c r="A26" s="10">
        <f>Players!A17</f>
        <v>16</v>
      </c>
      <c r="B26" s="10">
        <f>Players!B17</f>
        <v>0</v>
      </c>
      <c r="C26" s="19">
        <f>Rounds!$K$15</f>
        <v>740</v>
      </c>
      <c r="D26" s="19">
        <f>Transport!N35</f>
        <v>0</v>
      </c>
      <c r="E26" s="19">
        <f>Accommodation!V42</f>
        <v>0</v>
      </c>
      <c r="F26" s="19">
        <f>Merchandise!N33</f>
        <v>0</v>
      </c>
      <c r="G26" s="19">
        <f>Prizes!$D$15</f>
        <v>108.75</v>
      </c>
      <c r="H26" s="19">
        <f>Competitions!I27</f>
        <v>0</v>
      </c>
      <c r="I26" s="19">
        <f>Incidentals!$D$15</f>
        <v>68.75</v>
      </c>
      <c r="J26" s="11">
        <f>IF(Players!$B$17="",0,SUM(C26:I26))</f>
        <v>0</v>
      </c>
      <c r="K26" s="11">
        <f>IF(Players!$B$17="",0,MROUND(J26,Setup!$B$6))</f>
        <v>0</v>
      </c>
      <c r="L26" s="11">
        <f>IF(Players!$B$17="",999999,K26-J26)</f>
        <v>999999</v>
      </c>
      <c r="M26" s="6">
        <f>_xlfn.RANK.EQ(L26,$L$11:$L$42,1)+COUNTIF($L$11:L26,L26)-1</f>
        <v>16</v>
      </c>
      <c r="N26" s="11">
        <f>IF(Players!$B$17="",0,IF(M26&lt;=Summary!$B$6,K26+Setup!$B$6,K26))</f>
        <v>0</v>
      </c>
      <c r="O26" s="11">
        <f>IF(Players!$B$17="",0,N26-J26)</f>
        <v>0</v>
      </c>
      <c r="Q26" s="11" t="str">
        <f>IF(Players!$B$17="","",N26)</f>
        <v/>
      </c>
    </row>
    <row r="27" spans="1:17" x14ac:dyDescent="0.45">
      <c r="A27" s="10">
        <f>Players!A18</f>
        <v>17</v>
      </c>
      <c r="B27" s="10">
        <f>Players!B18</f>
        <v>0</v>
      </c>
      <c r="C27" s="19">
        <f>Rounds!$K$15</f>
        <v>740</v>
      </c>
      <c r="D27" s="19">
        <f>Transport!N36</f>
        <v>0</v>
      </c>
      <c r="E27" s="19">
        <f>Accommodation!V43</f>
        <v>0</v>
      </c>
      <c r="F27" s="19">
        <f>Merchandise!N34</f>
        <v>0</v>
      </c>
      <c r="G27" s="19">
        <f>Prizes!$D$15</f>
        <v>108.75</v>
      </c>
      <c r="H27" s="19">
        <f>Competitions!I28</f>
        <v>0</v>
      </c>
      <c r="I27" s="19">
        <f>Incidentals!$D$15</f>
        <v>68.75</v>
      </c>
      <c r="J27" s="11">
        <f>IF(Players!$B$18="",0,SUM(C27:I27))</f>
        <v>0</v>
      </c>
      <c r="K27" s="11">
        <f>IF(Players!$B$18="",0,MROUND(J27,Setup!$B$6))</f>
        <v>0</v>
      </c>
      <c r="L27" s="11">
        <f>IF(Players!$B$18="",999999,K27-J27)</f>
        <v>999999</v>
      </c>
      <c r="M27" s="6">
        <f>_xlfn.RANK.EQ(L27,$L$11:$L$42,1)+COUNTIF($L$11:L27,L27)-1</f>
        <v>17</v>
      </c>
      <c r="N27" s="11">
        <f>IF(Players!$B$18="",0,IF(M27&lt;=Summary!$B$6,K27+Setup!$B$6,K27))</f>
        <v>0</v>
      </c>
      <c r="O27" s="11">
        <f>IF(Players!$B$18="",0,N27-J27)</f>
        <v>0</v>
      </c>
      <c r="Q27" s="11" t="str">
        <f>IF(Players!$B$18="","",N27)</f>
        <v/>
      </c>
    </row>
    <row r="28" spans="1:17" x14ac:dyDescent="0.45">
      <c r="A28" s="10">
        <f>Players!A19</f>
        <v>18</v>
      </c>
      <c r="B28" s="10">
        <f>Players!B19</f>
        <v>0</v>
      </c>
      <c r="C28" s="19">
        <f>Rounds!$K$15</f>
        <v>740</v>
      </c>
      <c r="D28" s="19">
        <f>Transport!N37</f>
        <v>0</v>
      </c>
      <c r="E28" s="19">
        <f>Accommodation!V44</f>
        <v>0</v>
      </c>
      <c r="F28" s="19">
        <f>Merchandise!N35</f>
        <v>0</v>
      </c>
      <c r="G28" s="19">
        <f>Prizes!$D$15</f>
        <v>108.75</v>
      </c>
      <c r="H28" s="19">
        <f>Competitions!I29</f>
        <v>0</v>
      </c>
      <c r="I28" s="19">
        <f>Incidentals!$D$15</f>
        <v>68.75</v>
      </c>
      <c r="J28" s="11">
        <f>IF(Players!$B$19="",0,SUM(C28:I28))</f>
        <v>0</v>
      </c>
      <c r="K28" s="11">
        <f>IF(Players!$B$19="",0,MROUND(J28,Setup!$B$6))</f>
        <v>0</v>
      </c>
      <c r="L28" s="11">
        <f>IF(Players!$B$19="",999999,K28-J28)</f>
        <v>999999</v>
      </c>
      <c r="M28" s="6">
        <f>_xlfn.RANK.EQ(L28,$L$11:$L$42,1)+COUNTIF($L$11:L28,L28)-1</f>
        <v>18</v>
      </c>
      <c r="N28" s="11">
        <f>IF(Players!$B$19="",0,IF(M28&lt;=Summary!$B$6,K28+Setup!$B$6,K28))</f>
        <v>0</v>
      </c>
      <c r="O28" s="11">
        <f>IF(Players!$B$19="",0,N28-J28)</f>
        <v>0</v>
      </c>
      <c r="Q28" s="11" t="str">
        <f>IF(Players!$B$19="","",N28)</f>
        <v/>
      </c>
    </row>
    <row r="29" spans="1:17" x14ac:dyDescent="0.45">
      <c r="A29" s="10">
        <f>Players!A20</f>
        <v>19</v>
      </c>
      <c r="B29" s="10">
        <f>Players!B20</f>
        <v>0</v>
      </c>
      <c r="C29" s="19">
        <f>Rounds!$K$15</f>
        <v>740</v>
      </c>
      <c r="D29" s="19">
        <f>Transport!N38</f>
        <v>0</v>
      </c>
      <c r="E29" s="19">
        <f>Accommodation!V45</f>
        <v>0</v>
      </c>
      <c r="F29" s="19">
        <f>Merchandise!N36</f>
        <v>0</v>
      </c>
      <c r="G29" s="19">
        <f>Prizes!$D$15</f>
        <v>108.75</v>
      </c>
      <c r="H29" s="19">
        <f>Competitions!I30</f>
        <v>0</v>
      </c>
      <c r="I29" s="19">
        <f>Incidentals!$D$15</f>
        <v>68.75</v>
      </c>
      <c r="J29" s="11">
        <f>IF(Players!$B$20="",0,SUM(C29:I29))</f>
        <v>0</v>
      </c>
      <c r="K29" s="11">
        <f>IF(Players!$B$20="",0,MROUND(J29,Setup!$B$6))</f>
        <v>0</v>
      </c>
      <c r="L29" s="11">
        <f>IF(Players!$B$20="",999999,K29-J29)</f>
        <v>999999</v>
      </c>
      <c r="M29" s="6">
        <f>_xlfn.RANK.EQ(L29,$L$11:$L$42,1)+COUNTIF($L$11:L29,L29)-1</f>
        <v>19</v>
      </c>
      <c r="N29" s="11">
        <f>IF(Players!$B$20="",0,IF(M29&lt;=Summary!$B$6,K29+Setup!$B$6,K29))</f>
        <v>0</v>
      </c>
      <c r="O29" s="11">
        <f>IF(Players!$B$20="",0,N29-J29)</f>
        <v>0</v>
      </c>
      <c r="Q29" s="11" t="str">
        <f>IF(Players!$B$20="","",N29)</f>
        <v/>
      </c>
    </row>
    <row r="30" spans="1:17" x14ac:dyDescent="0.45">
      <c r="A30" s="10">
        <f>Players!A21</f>
        <v>20</v>
      </c>
      <c r="B30" s="10">
        <f>Players!B21</f>
        <v>0</v>
      </c>
      <c r="C30" s="19">
        <f>Rounds!$K$15</f>
        <v>740</v>
      </c>
      <c r="D30" s="19">
        <f>Transport!N39</f>
        <v>0</v>
      </c>
      <c r="E30" s="19">
        <f>Accommodation!V46</f>
        <v>0</v>
      </c>
      <c r="F30" s="19">
        <f>Merchandise!N37</f>
        <v>0</v>
      </c>
      <c r="G30" s="19">
        <f>Prizes!$D$15</f>
        <v>108.75</v>
      </c>
      <c r="H30" s="19">
        <f>Competitions!I31</f>
        <v>0</v>
      </c>
      <c r="I30" s="19">
        <f>Incidentals!$D$15</f>
        <v>68.75</v>
      </c>
      <c r="J30" s="11">
        <f>IF(Players!$B$21="",0,SUM(C30:I30))</f>
        <v>0</v>
      </c>
      <c r="K30" s="11">
        <f>IF(Players!$B$21="",0,MROUND(J30,Setup!$B$6))</f>
        <v>0</v>
      </c>
      <c r="L30" s="11">
        <f>IF(Players!$B$21="",999999,K30-J30)</f>
        <v>999999</v>
      </c>
      <c r="M30" s="6">
        <f>_xlfn.RANK.EQ(L30,$L$11:$L$42,1)+COUNTIF($L$11:L30,L30)-1</f>
        <v>20</v>
      </c>
      <c r="N30" s="11">
        <f>IF(Players!$B$21="",0,IF(M30&lt;=Summary!$B$6,K30+Setup!$B$6,K30))</f>
        <v>0</v>
      </c>
      <c r="O30" s="11">
        <f>IF(Players!$B$21="",0,N30-J30)</f>
        <v>0</v>
      </c>
      <c r="Q30" s="11" t="str">
        <f>IF(Players!$B$21="","",N30)</f>
        <v/>
      </c>
    </row>
    <row r="31" spans="1:17" x14ac:dyDescent="0.45">
      <c r="A31" s="10">
        <f>Players!A22</f>
        <v>21</v>
      </c>
      <c r="B31" s="10">
        <f>Players!B22</f>
        <v>0</v>
      </c>
      <c r="C31" s="19">
        <f>Rounds!$K$15</f>
        <v>740</v>
      </c>
      <c r="D31" s="19">
        <f>Transport!N40</f>
        <v>0</v>
      </c>
      <c r="E31" s="19">
        <f>Accommodation!V47</f>
        <v>0</v>
      </c>
      <c r="F31" s="19">
        <f>Merchandise!N38</f>
        <v>0</v>
      </c>
      <c r="G31" s="19">
        <f>Prizes!$D$15</f>
        <v>108.75</v>
      </c>
      <c r="H31" s="19">
        <f>Competitions!I32</f>
        <v>0</v>
      </c>
      <c r="I31" s="19">
        <f>Incidentals!$D$15</f>
        <v>68.75</v>
      </c>
      <c r="J31" s="11">
        <f>IF(Players!$B$22="",0,SUM(C31:I31))</f>
        <v>0</v>
      </c>
      <c r="K31" s="11">
        <f>IF(Players!$B$22="",0,MROUND(J31,Setup!$B$6))</f>
        <v>0</v>
      </c>
      <c r="L31" s="11">
        <f>IF(Players!$B$22="",999999,K31-J31)</f>
        <v>999999</v>
      </c>
      <c r="M31" s="6">
        <f>_xlfn.RANK.EQ(L31,$L$11:$L$42,1)+COUNTIF($L$11:L31,L31)-1</f>
        <v>21</v>
      </c>
      <c r="N31" s="11">
        <f>IF(Players!$B$22="",0,IF(M31&lt;=Summary!$B$6,K31+Setup!$B$6,K31))</f>
        <v>0</v>
      </c>
      <c r="O31" s="11">
        <f>IF(Players!$B$22="",0,N31-J31)</f>
        <v>0</v>
      </c>
      <c r="Q31" s="11" t="str">
        <f>IF(Players!$B$22="","",N31)</f>
        <v/>
      </c>
    </row>
    <row r="32" spans="1:17" x14ac:dyDescent="0.45">
      <c r="A32" s="10">
        <f>Players!A23</f>
        <v>22</v>
      </c>
      <c r="B32" s="10">
        <f>Players!B23</f>
        <v>0</v>
      </c>
      <c r="C32" s="19">
        <f>Rounds!$K$15</f>
        <v>740</v>
      </c>
      <c r="D32" s="19">
        <f>Transport!N41</f>
        <v>0</v>
      </c>
      <c r="E32" s="19">
        <f>Accommodation!V48</f>
        <v>0</v>
      </c>
      <c r="F32" s="19">
        <f>Merchandise!N39</f>
        <v>0</v>
      </c>
      <c r="G32" s="19">
        <f>Prizes!$D$15</f>
        <v>108.75</v>
      </c>
      <c r="H32" s="19">
        <f>Competitions!I33</f>
        <v>0</v>
      </c>
      <c r="I32" s="19">
        <f>Incidentals!$D$15</f>
        <v>68.75</v>
      </c>
      <c r="J32" s="11">
        <f>IF(Players!$B$23="",0,SUM(C32:I32))</f>
        <v>0</v>
      </c>
      <c r="K32" s="11">
        <f>IF(Players!$B$23="",0,MROUND(J32,Setup!$B$6))</f>
        <v>0</v>
      </c>
      <c r="L32" s="11">
        <f>IF(Players!$B$23="",999999,K32-J32)</f>
        <v>999999</v>
      </c>
      <c r="M32" s="6">
        <f>_xlfn.RANK.EQ(L32,$L$11:$L$42,1)+COUNTIF($L$11:L32,L32)-1</f>
        <v>22</v>
      </c>
      <c r="N32" s="11">
        <f>IF(Players!$B$23="",0,IF(M32&lt;=Summary!$B$6,K32+Setup!$B$6,K32))</f>
        <v>0</v>
      </c>
      <c r="O32" s="11">
        <f>IF(Players!$B$23="",0,N32-J32)</f>
        <v>0</v>
      </c>
      <c r="Q32" s="11" t="str">
        <f>IF(Players!$B$23="","",N32)</f>
        <v/>
      </c>
    </row>
    <row r="33" spans="1:17" x14ac:dyDescent="0.45">
      <c r="A33" s="10">
        <f>Players!A24</f>
        <v>23</v>
      </c>
      <c r="B33" s="10">
        <f>Players!B24</f>
        <v>0</v>
      </c>
      <c r="C33" s="19">
        <f>Rounds!$K$15</f>
        <v>740</v>
      </c>
      <c r="D33" s="19">
        <f>Transport!N42</f>
        <v>0</v>
      </c>
      <c r="E33" s="19">
        <f>Accommodation!V49</f>
        <v>0</v>
      </c>
      <c r="F33" s="19">
        <f>Merchandise!N40</f>
        <v>0</v>
      </c>
      <c r="G33" s="19">
        <f>Prizes!$D$15</f>
        <v>108.75</v>
      </c>
      <c r="H33" s="19">
        <f>Competitions!I34</f>
        <v>0</v>
      </c>
      <c r="I33" s="19">
        <f>Incidentals!$D$15</f>
        <v>68.75</v>
      </c>
      <c r="J33" s="11">
        <f>IF(Players!$B$24="",0,SUM(C33:I33))</f>
        <v>0</v>
      </c>
      <c r="K33" s="11">
        <f>IF(Players!$B$24="",0,MROUND(J33,Setup!$B$6))</f>
        <v>0</v>
      </c>
      <c r="L33" s="11">
        <f>IF(Players!$B$24="",999999,K33-J33)</f>
        <v>999999</v>
      </c>
      <c r="M33" s="6">
        <f>_xlfn.RANK.EQ(L33,$L$11:$L$42,1)+COUNTIF($L$11:L33,L33)-1</f>
        <v>23</v>
      </c>
      <c r="N33" s="11">
        <f>IF(Players!$B$24="",0,IF(M33&lt;=Summary!$B$6,K33+Setup!$B$6,K33))</f>
        <v>0</v>
      </c>
      <c r="O33" s="11">
        <f>IF(Players!$B$24="",0,N33-J33)</f>
        <v>0</v>
      </c>
      <c r="Q33" s="11" t="str">
        <f>IF(Players!$B$24="","",N33)</f>
        <v/>
      </c>
    </row>
    <row r="34" spans="1:17" x14ac:dyDescent="0.45">
      <c r="A34" s="10">
        <f>Players!A25</f>
        <v>24</v>
      </c>
      <c r="B34" s="10">
        <f>Players!B25</f>
        <v>0</v>
      </c>
      <c r="C34" s="19">
        <f>Rounds!$K$15</f>
        <v>740</v>
      </c>
      <c r="D34" s="19">
        <f>Transport!N43</f>
        <v>0</v>
      </c>
      <c r="E34" s="19">
        <f>Accommodation!V50</f>
        <v>0</v>
      </c>
      <c r="F34" s="19">
        <f>Merchandise!N41</f>
        <v>0</v>
      </c>
      <c r="G34" s="19">
        <f>Prizes!$D$15</f>
        <v>108.75</v>
      </c>
      <c r="H34" s="19">
        <f>Competitions!I35</f>
        <v>0</v>
      </c>
      <c r="I34" s="19">
        <f>Incidentals!$D$15</f>
        <v>68.75</v>
      </c>
      <c r="J34" s="11">
        <f>IF(Players!$B$25="",0,SUM(C34:I34))</f>
        <v>0</v>
      </c>
      <c r="K34" s="11">
        <f>IF(Players!$B$25="",0,MROUND(J34,Setup!$B$6))</f>
        <v>0</v>
      </c>
      <c r="L34" s="11">
        <f>IF(Players!$B$25="",999999,K34-J34)</f>
        <v>999999</v>
      </c>
      <c r="M34" s="6">
        <f>_xlfn.RANK.EQ(L34,$L$11:$L$42,1)+COUNTIF($L$11:L34,L34)-1</f>
        <v>24</v>
      </c>
      <c r="N34" s="11">
        <f>IF(Players!$B$25="",0,IF(M34&lt;=Summary!$B$6,K34+Setup!$B$6,K34))</f>
        <v>0</v>
      </c>
      <c r="O34" s="11">
        <f>IF(Players!$B$25="",0,N34-J34)</f>
        <v>0</v>
      </c>
      <c r="Q34" s="11" t="str">
        <f>IF(Players!$B$25="","",N34)</f>
        <v/>
      </c>
    </row>
    <row r="35" spans="1:17" x14ac:dyDescent="0.45">
      <c r="A35" s="10">
        <f>Players!A26</f>
        <v>25</v>
      </c>
      <c r="B35" s="10">
        <f>Players!B26</f>
        <v>0</v>
      </c>
      <c r="C35" s="19">
        <f>Rounds!$K$15</f>
        <v>740</v>
      </c>
      <c r="D35" s="19">
        <f>Transport!N44</f>
        <v>0</v>
      </c>
      <c r="E35" s="19">
        <f>Accommodation!V51</f>
        <v>0</v>
      </c>
      <c r="F35" s="19">
        <f>Merchandise!N42</f>
        <v>0</v>
      </c>
      <c r="G35" s="19">
        <f>Prizes!$D$15</f>
        <v>108.75</v>
      </c>
      <c r="H35" s="19">
        <f>Competitions!I36</f>
        <v>0</v>
      </c>
      <c r="I35" s="19">
        <f>Incidentals!$D$15</f>
        <v>68.75</v>
      </c>
      <c r="J35" s="11">
        <f>IF(Players!$B$26="",0,SUM(C35:I35))</f>
        <v>0</v>
      </c>
      <c r="K35" s="11">
        <f>IF(Players!$B$26="",0,MROUND(J35,Setup!$B$6))</f>
        <v>0</v>
      </c>
      <c r="L35" s="11">
        <f>IF(Players!$B$26="",999999,K35-J35)</f>
        <v>999999</v>
      </c>
      <c r="M35" s="6">
        <f>_xlfn.RANK.EQ(L35,$L$11:$L$42,1)+COUNTIF($L$11:L35,L35)-1</f>
        <v>25</v>
      </c>
      <c r="N35" s="11">
        <f>IF(Players!$B$26="",0,IF(M35&lt;=Summary!$B$6,K35+Setup!$B$6,K35))</f>
        <v>0</v>
      </c>
      <c r="O35" s="11">
        <f>IF(Players!$B$26="",0,N35-J35)</f>
        <v>0</v>
      </c>
      <c r="Q35" s="11" t="str">
        <f>IF(Players!$B$26="","",N35)</f>
        <v/>
      </c>
    </row>
    <row r="36" spans="1:17" x14ac:dyDescent="0.45">
      <c r="A36" s="10">
        <f>Players!A27</f>
        <v>26</v>
      </c>
      <c r="B36" s="10">
        <f>Players!B27</f>
        <v>0</v>
      </c>
      <c r="C36" s="19">
        <f>Rounds!$K$15</f>
        <v>740</v>
      </c>
      <c r="D36" s="19">
        <f>Transport!N45</f>
        <v>0</v>
      </c>
      <c r="E36" s="19">
        <f>Accommodation!V52</f>
        <v>0</v>
      </c>
      <c r="F36" s="19">
        <f>Merchandise!N43</f>
        <v>0</v>
      </c>
      <c r="G36" s="19">
        <f>Prizes!$D$15</f>
        <v>108.75</v>
      </c>
      <c r="H36" s="19">
        <f>Competitions!I37</f>
        <v>0</v>
      </c>
      <c r="I36" s="19">
        <f>Incidentals!$D$15</f>
        <v>68.75</v>
      </c>
      <c r="J36" s="11">
        <f>IF(Players!$B$27="",0,SUM(C36:I36))</f>
        <v>0</v>
      </c>
      <c r="K36" s="11">
        <f>IF(Players!$B$27="",0,MROUND(J36,Setup!$B$6))</f>
        <v>0</v>
      </c>
      <c r="L36" s="11">
        <f>IF(Players!$B$27="",999999,K36-J36)</f>
        <v>999999</v>
      </c>
      <c r="M36" s="6">
        <f>_xlfn.RANK.EQ(L36,$L$11:$L$42,1)+COUNTIF($L$11:L36,L36)-1</f>
        <v>26</v>
      </c>
      <c r="N36" s="11">
        <f>IF(Players!$B$27="",0,IF(M36&lt;=Summary!$B$6,K36+Setup!$B$6,K36))</f>
        <v>0</v>
      </c>
      <c r="O36" s="11">
        <f>IF(Players!$B$27="",0,N36-J36)</f>
        <v>0</v>
      </c>
      <c r="Q36" s="11" t="str">
        <f>IF(Players!$B$27="","",N36)</f>
        <v/>
      </c>
    </row>
    <row r="37" spans="1:17" x14ac:dyDescent="0.45">
      <c r="A37" s="10">
        <f>Players!A28</f>
        <v>27</v>
      </c>
      <c r="B37" s="10">
        <f>Players!B28</f>
        <v>0</v>
      </c>
      <c r="C37" s="19">
        <f>Rounds!$K$15</f>
        <v>740</v>
      </c>
      <c r="D37" s="19">
        <f>Transport!N46</f>
        <v>0</v>
      </c>
      <c r="E37" s="19">
        <f>Accommodation!V53</f>
        <v>0</v>
      </c>
      <c r="F37" s="19">
        <f>Merchandise!N44</f>
        <v>0</v>
      </c>
      <c r="G37" s="19">
        <f>Prizes!$D$15</f>
        <v>108.75</v>
      </c>
      <c r="H37" s="19">
        <f>Competitions!I38</f>
        <v>0</v>
      </c>
      <c r="I37" s="19">
        <f>Incidentals!$D$15</f>
        <v>68.75</v>
      </c>
      <c r="J37" s="11">
        <f>IF(Players!$B$28="",0,SUM(C37:I37))</f>
        <v>0</v>
      </c>
      <c r="K37" s="11">
        <f>IF(Players!$B$28="",0,MROUND(J37,Setup!$B$6))</f>
        <v>0</v>
      </c>
      <c r="L37" s="11">
        <f>IF(Players!$B$28="",999999,K37-J37)</f>
        <v>999999</v>
      </c>
      <c r="M37" s="6">
        <f>_xlfn.RANK.EQ(L37,$L$11:$L$42,1)+COUNTIF($L$11:L37,L37)-1</f>
        <v>27</v>
      </c>
      <c r="N37" s="11">
        <f>IF(Players!$B$28="",0,IF(M37&lt;=Summary!$B$6,K37+Setup!$B$6,K37))</f>
        <v>0</v>
      </c>
      <c r="O37" s="11">
        <f>IF(Players!$B$28="",0,N37-J37)</f>
        <v>0</v>
      </c>
      <c r="Q37" s="11" t="str">
        <f>IF(Players!$B$28="","",N37)</f>
        <v/>
      </c>
    </row>
    <row r="38" spans="1:17" x14ac:dyDescent="0.45">
      <c r="A38" s="10">
        <f>Players!A29</f>
        <v>28</v>
      </c>
      <c r="B38" s="10">
        <f>Players!B29</f>
        <v>0</v>
      </c>
      <c r="C38" s="19">
        <f>Rounds!$K$15</f>
        <v>740</v>
      </c>
      <c r="D38" s="19">
        <f>Transport!N47</f>
        <v>0</v>
      </c>
      <c r="E38" s="19">
        <f>Accommodation!V54</f>
        <v>0</v>
      </c>
      <c r="F38" s="19">
        <f>Merchandise!N45</f>
        <v>0</v>
      </c>
      <c r="G38" s="19">
        <f>Prizes!$D$15</f>
        <v>108.75</v>
      </c>
      <c r="H38" s="19">
        <f>Competitions!I39</f>
        <v>0</v>
      </c>
      <c r="I38" s="19">
        <f>Incidentals!$D$15</f>
        <v>68.75</v>
      </c>
      <c r="J38" s="11">
        <f>IF(Players!$B$29="",0,SUM(C38:I38))</f>
        <v>0</v>
      </c>
      <c r="K38" s="11">
        <f>IF(Players!$B$29="",0,MROUND(J38,Setup!$B$6))</f>
        <v>0</v>
      </c>
      <c r="L38" s="11">
        <f>IF(Players!$B$29="",999999,K38-J38)</f>
        <v>999999</v>
      </c>
      <c r="M38" s="6">
        <f>_xlfn.RANK.EQ(L38,$L$11:$L$42,1)+COUNTIF($L$11:L38,L38)-1</f>
        <v>28</v>
      </c>
      <c r="N38" s="11">
        <f>IF(Players!$B$29="",0,IF(M38&lt;=Summary!$B$6,K38+Setup!$B$6,K38))</f>
        <v>0</v>
      </c>
      <c r="O38" s="11">
        <f>IF(Players!$B$29="",0,N38-J38)</f>
        <v>0</v>
      </c>
      <c r="Q38" s="11" t="str">
        <f>IF(Players!$B$29="","",N38)</f>
        <v/>
      </c>
    </row>
    <row r="39" spans="1:17" x14ac:dyDescent="0.45">
      <c r="A39" s="10">
        <f>Players!A30</f>
        <v>29</v>
      </c>
      <c r="B39" s="10">
        <f>Players!B30</f>
        <v>0</v>
      </c>
      <c r="C39" s="19">
        <f>Rounds!$K$15</f>
        <v>740</v>
      </c>
      <c r="D39" s="19">
        <f>Transport!N48</f>
        <v>0</v>
      </c>
      <c r="E39" s="19">
        <f>Accommodation!V55</f>
        <v>0</v>
      </c>
      <c r="F39" s="19">
        <f>Merchandise!N46</f>
        <v>0</v>
      </c>
      <c r="G39" s="19">
        <f>Prizes!$D$15</f>
        <v>108.75</v>
      </c>
      <c r="H39" s="19">
        <f>Competitions!I40</f>
        <v>0</v>
      </c>
      <c r="I39" s="19">
        <f>Incidentals!$D$15</f>
        <v>68.75</v>
      </c>
      <c r="J39" s="11">
        <f>IF(Players!$B$30="",0,SUM(C39:I39))</f>
        <v>0</v>
      </c>
      <c r="K39" s="11">
        <f>IF(Players!$B$30="",0,MROUND(J39,Setup!$B$6))</f>
        <v>0</v>
      </c>
      <c r="L39" s="11">
        <f>IF(Players!$B$30="",999999,K39-J39)</f>
        <v>999999</v>
      </c>
      <c r="M39" s="6">
        <f>_xlfn.RANK.EQ(L39,$L$11:$L$42,1)+COUNTIF($L$11:L39,L39)-1</f>
        <v>29</v>
      </c>
      <c r="N39" s="11">
        <f>IF(Players!$B$30="",0,IF(M39&lt;=Summary!$B$6,K39+Setup!$B$6,K39))</f>
        <v>0</v>
      </c>
      <c r="O39" s="11">
        <f>IF(Players!$B$30="",0,N39-J39)</f>
        <v>0</v>
      </c>
      <c r="Q39" s="11" t="str">
        <f>IF(Players!$B$30="","",N39)</f>
        <v/>
      </c>
    </row>
    <row r="40" spans="1:17" x14ac:dyDescent="0.45">
      <c r="A40" s="10">
        <f>Players!A31</f>
        <v>30</v>
      </c>
      <c r="B40" s="10">
        <f>Players!B31</f>
        <v>0</v>
      </c>
      <c r="C40" s="19">
        <f>Rounds!$K$15</f>
        <v>740</v>
      </c>
      <c r="D40" s="19">
        <f>Transport!N49</f>
        <v>0</v>
      </c>
      <c r="E40" s="19">
        <f>Accommodation!V56</f>
        <v>0</v>
      </c>
      <c r="F40" s="19">
        <f>Merchandise!N47</f>
        <v>0</v>
      </c>
      <c r="G40" s="19">
        <f>Prizes!$D$15</f>
        <v>108.75</v>
      </c>
      <c r="H40" s="19">
        <f>Competitions!I41</f>
        <v>0</v>
      </c>
      <c r="I40" s="19">
        <f>Incidentals!$D$15</f>
        <v>68.75</v>
      </c>
      <c r="J40" s="11">
        <f>IF(Players!$B$31="",0,SUM(C40:I40))</f>
        <v>0</v>
      </c>
      <c r="K40" s="11">
        <f>IF(Players!$B$31="",0,MROUND(J40,Setup!$B$6))</f>
        <v>0</v>
      </c>
      <c r="L40" s="11">
        <f>IF(Players!$B$31="",999999,K40-J40)</f>
        <v>999999</v>
      </c>
      <c r="M40" s="6">
        <f>_xlfn.RANK.EQ(L40,$L$11:$L$42,1)+COUNTIF($L$11:L40,L40)-1</f>
        <v>30</v>
      </c>
      <c r="N40" s="11">
        <f>IF(Players!$B$31="",0,IF(M40&lt;=Summary!$B$6,K40+Setup!$B$6,K40))</f>
        <v>0</v>
      </c>
      <c r="O40" s="11">
        <f>IF(Players!$B$31="",0,N40-J40)</f>
        <v>0</v>
      </c>
      <c r="Q40" s="11" t="str">
        <f>IF(Players!$B$31="","",N40)</f>
        <v/>
      </c>
    </row>
    <row r="41" spans="1:17" x14ac:dyDescent="0.45">
      <c r="A41" s="10">
        <f>Players!A32</f>
        <v>31</v>
      </c>
      <c r="B41" s="10">
        <f>Players!B32</f>
        <v>0</v>
      </c>
      <c r="C41" s="19">
        <f>Rounds!$K$15</f>
        <v>740</v>
      </c>
      <c r="D41" s="19">
        <f>Transport!N50</f>
        <v>0</v>
      </c>
      <c r="E41" s="19">
        <f>Accommodation!V57</f>
        <v>0</v>
      </c>
      <c r="F41" s="19">
        <f>Merchandise!N48</f>
        <v>0</v>
      </c>
      <c r="G41" s="19">
        <f>Prizes!$D$15</f>
        <v>108.75</v>
      </c>
      <c r="H41" s="19">
        <f>Competitions!I42</f>
        <v>0</v>
      </c>
      <c r="I41" s="19">
        <f>Incidentals!$D$15</f>
        <v>68.75</v>
      </c>
      <c r="J41" s="11">
        <f>IF(Players!$B$32="",0,SUM(C41:I41))</f>
        <v>0</v>
      </c>
      <c r="K41" s="11">
        <f>IF(Players!$B$32="",0,MROUND(J41,Setup!$B$6))</f>
        <v>0</v>
      </c>
      <c r="L41" s="11">
        <f>IF(Players!$B$32="",999999,K41-J41)</f>
        <v>999999</v>
      </c>
      <c r="M41" s="6">
        <f>_xlfn.RANK.EQ(L41,$L$11:$L$42,1)+COUNTIF($L$11:L41,L41)-1</f>
        <v>31</v>
      </c>
      <c r="N41" s="11">
        <f>IF(Players!$B$32="",0,IF(M41&lt;=Summary!$B$6,K41+Setup!$B$6,K41))</f>
        <v>0</v>
      </c>
      <c r="O41" s="11">
        <f>IF(Players!$B$32="",0,N41-J41)</f>
        <v>0</v>
      </c>
      <c r="Q41" s="11" t="str">
        <f>IF(Players!$B$32="","",N41)</f>
        <v/>
      </c>
    </row>
    <row r="42" spans="1:17" x14ac:dyDescent="0.45">
      <c r="A42" s="10">
        <f>Players!A33</f>
        <v>32</v>
      </c>
      <c r="B42" s="10">
        <f>Players!B33</f>
        <v>0</v>
      </c>
      <c r="C42" s="19">
        <f>Rounds!$K$15</f>
        <v>740</v>
      </c>
      <c r="D42" s="19">
        <f>Transport!N51</f>
        <v>0</v>
      </c>
      <c r="E42" s="19">
        <f>Accommodation!V58</f>
        <v>0</v>
      </c>
      <c r="F42" s="19">
        <f>Merchandise!N49</f>
        <v>0</v>
      </c>
      <c r="G42" s="19">
        <f>Prizes!$D$15</f>
        <v>108.75</v>
      </c>
      <c r="H42" s="19">
        <f>Competitions!I43</f>
        <v>0</v>
      </c>
      <c r="I42" s="19">
        <f>Incidentals!$D$15</f>
        <v>68.75</v>
      </c>
      <c r="J42" s="11">
        <f>IF(Players!$B$33="",0,SUM(C42:I42))</f>
        <v>0</v>
      </c>
      <c r="K42" s="11">
        <f>IF(Players!$B$33="",0,MROUND(J42,Setup!$B$6))</f>
        <v>0</v>
      </c>
      <c r="L42" s="11">
        <f>IF(Players!$B$33="",999999,K42-J42)</f>
        <v>999999</v>
      </c>
      <c r="M42" s="6">
        <f>_xlfn.RANK.EQ(L42,$L$11:$L$42,1)+COUNTIF($L$11:L42,L42)-1</f>
        <v>32</v>
      </c>
      <c r="N42" s="11">
        <f>IF(Players!$B$33="",0,IF(M42&lt;=Summary!$B$6,K42+Setup!$B$6,K42))</f>
        <v>0</v>
      </c>
      <c r="O42" s="11">
        <f>IF(Players!$B$33="",0,N42-J42)</f>
        <v>0</v>
      </c>
      <c r="Q42" s="11" t="str">
        <f>IF(Players!$B$33="","",N42)</f>
        <v/>
      </c>
    </row>
    <row r="43" spans="1:17" x14ac:dyDescent="0.45">
      <c r="A43" s="18"/>
      <c r="B43" s="12" t="s">
        <v>62</v>
      </c>
      <c r="C43" s="13">
        <f t="shared" ref="C43:J43" si="0">SUM(C11:C42)</f>
        <v>23680</v>
      </c>
      <c r="D43" s="13">
        <f t="shared" si="0"/>
        <v>0</v>
      </c>
      <c r="E43" s="13">
        <f t="shared" si="0"/>
        <v>7820</v>
      </c>
      <c r="F43" s="13">
        <f t="shared" si="0"/>
        <v>350</v>
      </c>
      <c r="G43" s="13">
        <f t="shared" si="0"/>
        <v>3480</v>
      </c>
      <c r="H43" s="13">
        <f t="shared" si="0"/>
        <v>0</v>
      </c>
      <c r="I43" s="13">
        <f t="shared" si="0"/>
        <v>2200</v>
      </c>
      <c r="J43" s="13">
        <f t="shared" si="0"/>
        <v>15510</v>
      </c>
      <c r="K43" s="18"/>
      <c r="L43" s="18"/>
      <c r="M43" s="18"/>
      <c r="N43" s="13">
        <f>SUM(N11:N42)</f>
        <v>15550</v>
      </c>
      <c r="O43" s="13">
        <f>SUM(O11:O42)</f>
        <v>40</v>
      </c>
      <c r="P43" s="18"/>
      <c r="Q43" s="18"/>
    </row>
    <row r="45" spans="1:17" x14ac:dyDescent="0.45">
      <c r="A45" s="4" t="s">
        <v>137</v>
      </c>
    </row>
    <row r="46" spans="1:17" ht="27.75" x14ac:dyDescent="0.45">
      <c r="A46" s="8" t="s">
        <v>138</v>
      </c>
      <c r="B46" s="8" t="s">
        <v>139</v>
      </c>
    </row>
    <row r="47" spans="1:17" x14ac:dyDescent="0.45">
      <c r="A47" s="11">
        <f>IF($B$7=0,"",_xlfn.MINIFS($N$11:$N$42,$N$11:$N$42,"&gt;0")+0*Setup!$B$6)</f>
        <v>1650</v>
      </c>
      <c r="B47" s="6">
        <f t="shared" ref="B47:B66" si="1">IF(A47="","",COUNTIFS($N$11:$N$42,A47,$N$11:$N$42,"&gt;0"))</f>
        <v>2</v>
      </c>
    </row>
    <row r="48" spans="1:17" x14ac:dyDescent="0.45">
      <c r="A48" s="11">
        <f>IF($B$7=0,"",_xlfn.MINIFS($N$11:$N$42,$N$11:$N$42,"&gt;0")+1*Setup!$B$6)</f>
        <v>1700</v>
      </c>
      <c r="B48" s="6">
        <f t="shared" si="1"/>
        <v>1</v>
      </c>
    </row>
    <row r="49" spans="1:2" x14ac:dyDescent="0.45">
      <c r="A49" s="11">
        <f>IF($B$7=0,"",_xlfn.MINIFS($N$11:$N$42,$N$11:$N$42,"&gt;0")+2*Setup!$B$6)</f>
        <v>1750</v>
      </c>
      <c r="B49" s="6">
        <f t="shared" si="1"/>
        <v>0</v>
      </c>
    </row>
    <row r="50" spans="1:2" x14ac:dyDescent="0.45">
      <c r="A50" s="11">
        <f>IF($B$7=0,"",_xlfn.MINIFS($N$11:$N$42,$N$11:$N$42,"&gt;0")+3*Setup!$B$6)</f>
        <v>1800</v>
      </c>
      <c r="B50" s="6">
        <f t="shared" si="1"/>
        <v>0</v>
      </c>
    </row>
    <row r="51" spans="1:2" x14ac:dyDescent="0.45">
      <c r="A51" s="11">
        <f>IF($B$7=0,"",_xlfn.MINIFS($N$11:$N$42,$N$11:$N$42,"&gt;0")+4*Setup!$B$6)</f>
        <v>1850</v>
      </c>
      <c r="B51" s="6">
        <f t="shared" si="1"/>
        <v>0</v>
      </c>
    </row>
    <row r="52" spans="1:2" x14ac:dyDescent="0.45">
      <c r="A52" s="11">
        <f>IF($B$7=0,"",_xlfn.MINIFS($N$11:$N$42,$N$11:$N$42,"&gt;0")+5*Setup!$B$6)</f>
        <v>1900</v>
      </c>
      <c r="B52" s="6">
        <f t="shared" si="1"/>
        <v>1</v>
      </c>
    </row>
    <row r="53" spans="1:2" x14ac:dyDescent="0.45">
      <c r="A53" s="11">
        <f>IF($B$7=0,"",_xlfn.MINIFS($N$11:$N$42,$N$11:$N$42,"&gt;0")+6*Setup!$B$6)</f>
        <v>1950</v>
      </c>
      <c r="B53" s="6">
        <f t="shared" si="1"/>
        <v>0</v>
      </c>
    </row>
    <row r="54" spans="1:2" x14ac:dyDescent="0.45">
      <c r="A54" s="11">
        <f>IF($B$7=0,"",_xlfn.MINIFS($N$11:$N$42,$N$11:$N$42,"&gt;0")+7*Setup!$B$6)</f>
        <v>2000</v>
      </c>
      <c r="B54" s="6">
        <f t="shared" si="1"/>
        <v>1</v>
      </c>
    </row>
    <row r="55" spans="1:2" x14ac:dyDescent="0.45">
      <c r="A55" s="11">
        <f>IF($B$7=0,"",_xlfn.MINIFS($N$11:$N$42,$N$11:$N$42,"&gt;0")+8*Setup!$B$6)</f>
        <v>2050</v>
      </c>
      <c r="B55" s="6">
        <f t="shared" si="1"/>
        <v>0</v>
      </c>
    </row>
    <row r="56" spans="1:2" x14ac:dyDescent="0.45">
      <c r="A56" s="11">
        <f>IF($B$7=0,"",_xlfn.MINIFS($N$11:$N$42,$N$11:$N$42,"&gt;0")+9*Setup!$B$6)</f>
        <v>2100</v>
      </c>
      <c r="B56" s="6">
        <f t="shared" si="1"/>
        <v>2</v>
      </c>
    </row>
    <row r="57" spans="1:2" x14ac:dyDescent="0.45">
      <c r="A57" s="11">
        <f>IF($B$7=0,"",_xlfn.MINIFS($N$11:$N$42,$N$11:$N$42,"&gt;0")+10*Setup!$B$6)</f>
        <v>2150</v>
      </c>
      <c r="B57" s="6">
        <f t="shared" si="1"/>
        <v>0</v>
      </c>
    </row>
    <row r="58" spans="1:2" x14ac:dyDescent="0.45">
      <c r="A58" s="11">
        <f>IF($B$7=0,"",_xlfn.MINIFS($N$11:$N$42,$N$11:$N$42,"&gt;0")+11*Setup!$B$6)</f>
        <v>2200</v>
      </c>
      <c r="B58" s="6">
        <f t="shared" si="1"/>
        <v>0</v>
      </c>
    </row>
    <row r="59" spans="1:2" x14ac:dyDescent="0.45">
      <c r="A59" s="11">
        <f>IF($B$7=0,"",_xlfn.MINIFS($N$11:$N$42,$N$11:$N$42,"&gt;0")+12*Setup!$B$6)</f>
        <v>2250</v>
      </c>
      <c r="B59" s="6">
        <f t="shared" si="1"/>
        <v>0</v>
      </c>
    </row>
    <row r="60" spans="1:2" x14ac:dyDescent="0.45">
      <c r="A60" s="11">
        <f>IF($B$7=0,"",_xlfn.MINIFS($N$11:$N$42,$N$11:$N$42,"&gt;0")+13*Setup!$B$6)</f>
        <v>2300</v>
      </c>
      <c r="B60" s="6">
        <f t="shared" si="1"/>
        <v>0</v>
      </c>
    </row>
    <row r="61" spans="1:2" x14ac:dyDescent="0.45">
      <c r="A61" s="11">
        <f>IF($B$7=0,"",_xlfn.MINIFS($N$11:$N$42,$N$11:$N$42,"&gt;0")+14*Setup!$B$6)</f>
        <v>2350</v>
      </c>
      <c r="B61" s="6">
        <f t="shared" si="1"/>
        <v>0</v>
      </c>
    </row>
    <row r="62" spans="1:2" x14ac:dyDescent="0.45">
      <c r="A62" s="11">
        <f>IF($B$7=0,"",_xlfn.MINIFS($N$11:$N$42,$N$11:$N$42,"&gt;0")+15*Setup!$B$6)</f>
        <v>2400</v>
      </c>
      <c r="B62" s="6">
        <f t="shared" si="1"/>
        <v>0</v>
      </c>
    </row>
    <row r="63" spans="1:2" x14ac:dyDescent="0.45">
      <c r="A63" s="11">
        <f>IF($B$7=0,"",_xlfn.MINIFS($N$11:$N$42,$N$11:$N$42,"&gt;0")+16*Setup!$B$6)</f>
        <v>2450</v>
      </c>
      <c r="B63" s="6">
        <f t="shared" si="1"/>
        <v>1</v>
      </c>
    </row>
    <row r="64" spans="1:2" x14ac:dyDescent="0.45">
      <c r="A64" s="11">
        <f>IF($B$7=0,"",_xlfn.MINIFS($N$11:$N$42,$N$11:$N$42,"&gt;0")+17*Setup!$B$6)</f>
        <v>2500</v>
      </c>
      <c r="B64" s="6">
        <f t="shared" si="1"/>
        <v>0</v>
      </c>
    </row>
    <row r="65" spans="1:2" x14ac:dyDescent="0.45">
      <c r="A65" s="11">
        <f>IF($B$7=0,"",_xlfn.MINIFS($N$11:$N$42,$N$11:$N$42,"&gt;0")+18*Setup!$B$6)</f>
        <v>2550</v>
      </c>
      <c r="B65" s="6">
        <f t="shared" si="1"/>
        <v>0</v>
      </c>
    </row>
    <row r="66" spans="1:2" x14ac:dyDescent="0.45">
      <c r="A66" s="11">
        <f>IF($B$7=0,"",_xlfn.MINIFS($N$11:$N$42,$N$11:$N$42,"&gt;0")+19*Setup!$B$6)</f>
        <v>2600</v>
      </c>
      <c r="B66" s="6">
        <f t="shared" si="1"/>
        <v>0</v>
      </c>
    </row>
  </sheetData>
  <conditionalFormatting sqref="O11:O42">
    <cfRule type="cellIs" dxfId="2" priority="1" operator="lessThan">
      <formula>0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6"/>
  <sheetViews>
    <sheetView showGridLines="0" workbookViewId="0">
      <pane xSplit="2" ySplit="13" topLeftCell="C14" activePane="bottomRight" state="frozen"/>
      <selection pane="topRight"/>
      <selection pane="bottomLeft"/>
      <selection pane="bottomRight"/>
    </sheetView>
  </sheetViews>
  <sheetFormatPr defaultRowHeight="14.25" x14ac:dyDescent="0.45"/>
  <cols>
    <col min="1" max="1" width="26" customWidth="1"/>
    <col min="2" max="16" width="15" customWidth="1"/>
    <col min="17" max="17" width="14" customWidth="1"/>
  </cols>
  <sheetData>
    <row r="1" spans="1:17" ht="17.649999999999999" x14ac:dyDescent="0.5">
      <c r="A1" s="1" t="s">
        <v>140</v>
      </c>
    </row>
    <row r="3" spans="1:17" x14ac:dyDescent="0.45">
      <c r="A3" s="4" t="s">
        <v>141</v>
      </c>
      <c r="B3" s="20">
        <v>300</v>
      </c>
    </row>
    <row r="4" spans="1:17" x14ac:dyDescent="0.45">
      <c r="A4" s="4" t="s">
        <v>142</v>
      </c>
      <c r="B4" s="7" t="s">
        <v>143</v>
      </c>
    </row>
    <row r="5" spans="1:17" x14ac:dyDescent="0.45">
      <c r="A5" s="4" t="s">
        <v>144</v>
      </c>
      <c r="B5" s="5"/>
    </row>
    <row r="6" spans="1:17" x14ac:dyDescent="0.45">
      <c r="A6" s="4" t="s">
        <v>145</v>
      </c>
      <c r="B6" s="5"/>
    </row>
    <row r="8" spans="1:17" x14ac:dyDescent="0.45">
      <c r="A8" s="4" t="s">
        <v>146</v>
      </c>
      <c r="D8" s="11">
        <f>SUM(N14:N45)</f>
        <v>15550</v>
      </c>
    </row>
    <row r="9" spans="1:17" x14ac:dyDescent="0.45">
      <c r="A9" s="4" t="s">
        <v>147</v>
      </c>
      <c r="D9" s="11">
        <f>SUM(O14:O45)</f>
        <v>0</v>
      </c>
    </row>
    <row r="10" spans="1:17" x14ac:dyDescent="0.45">
      <c r="A10" s="4" t="s">
        <v>148</v>
      </c>
      <c r="D10" s="11">
        <f>SUM(P14:P45)</f>
        <v>15550</v>
      </c>
    </row>
    <row r="11" spans="1:17" x14ac:dyDescent="0.45">
      <c r="A11" s="4" t="s">
        <v>149</v>
      </c>
      <c r="D11" s="11">
        <f>SUM(H14:H45)</f>
        <v>0</v>
      </c>
    </row>
    <row r="13" spans="1:17" ht="41.65" x14ac:dyDescent="0.45">
      <c r="A13" s="8" t="s">
        <v>121</v>
      </c>
      <c r="B13" s="8" t="s">
        <v>122</v>
      </c>
      <c r="C13" s="8" t="s">
        <v>150</v>
      </c>
      <c r="D13" s="8" t="s">
        <v>151</v>
      </c>
      <c r="E13" s="8" t="s">
        <v>152</v>
      </c>
      <c r="F13" s="8" t="s">
        <v>153</v>
      </c>
      <c r="G13" s="8" t="s">
        <v>154</v>
      </c>
      <c r="H13" s="8" t="s">
        <v>155</v>
      </c>
      <c r="I13" s="8" t="s">
        <v>156</v>
      </c>
      <c r="J13" s="8" t="s">
        <v>157</v>
      </c>
      <c r="K13" s="8" t="s">
        <v>158</v>
      </c>
      <c r="L13" s="8" t="s">
        <v>159</v>
      </c>
      <c r="M13" s="8" t="s">
        <v>160</v>
      </c>
      <c r="N13" s="8" t="s">
        <v>161</v>
      </c>
      <c r="O13" s="8" t="s">
        <v>162</v>
      </c>
      <c r="P13" s="8" t="s">
        <v>163</v>
      </c>
      <c r="Q13" s="8" t="s">
        <v>164</v>
      </c>
    </row>
    <row r="14" spans="1:17" x14ac:dyDescent="0.45">
      <c r="A14" s="10">
        <f>Players!A2</f>
        <v>1</v>
      </c>
      <c r="B14" s="10" t="str">
        <f>Players!B2</f>
        <v>Alex Thompson</v>
      </c>
      <c r="C14" s="19">
        <f>IF(Players!$B$2="",0,Summary!N11)</f>
        <v>2450</v>
      </c>
      <c r="D14" s="11">
        <f>IF(Players!$B$2="",0,$B$3)</f>
        <v>300</v>
      </c>
      <c r="E14" s="6" t="str">
        <f>IF(Players!$B$2="","",$B$4)</f>
        <v>Refundable</v>
      </c>
      <c r="F14" s="9"/>
      <c r="G14" s="21"/>
      <c r="H14" s="9"/>
      <c r="I14" s="11">
        <f t="shared" ref="I14:I45" si="0">C14-F14</f>
        <v>2450</v>
      </c>
      <c r="J14" s="9"/>
      <c r="K14" s="21"/>
      <c r="L14" s="9"/>
      <c r="M14" s="9"/>
      <c r="N14" s="11">
        <f t="shared" ref="N14:N45" si="1">C14+L14</f>
        <v>2450</v>
      </c>
      <c r="O14" s="11">
        <f t="shared" ref="O14:O45" si="2">F14-H14+J14+M14</f>
        <v>0</v>
      </c>
      <c r="P14" s="11">
        <f t="shared" ref="P14:P45" si="3">N14-O14</f>
        <v>2450</v>
      </c>
      <c r="Q14" s="6" t="str">
        <f>IF(Players!$B$2="","",IF(P14&lt;=0,"Fully Paid",IF(O14&gt;0,"Partial","Unpaid")))</f>
        <v>Unpaid</v>
      </c>
    </row>
    <row r="15" spans="1:17" x14ac:dyDescent="0.45">
      <c r="A15" s="10">
        <f>Players!A3</f>
        <v>2</v>
      </c>
      <c r="B15" s="10" t="str">
        <f>Players!B3</f>
        <v>Ben Carter</v>
      </c>
      <c r="C15" s="19">
        <f>IF(Players!$B$3="",0,Summary!N12)</f>
        <v>1900</v>
      </c>
      <c r="D15" s="11">
        <f>IF(Players!$B$3="",0,$B$3)</f>
        <v>300</v>
      </c>
      <c r="E15" s="6" t="str">
        <f>IF(Players!$B$3="","",$B$4)</f>
        <v>Refundable</v>
      </c>
      <c r="F15" s="9"/>
      <c r="G15" s="21"/>
      <c r="H15" s="9"/>
      <c r="I15" s="11">
        <f t="shared" si="0"/>
        <v>1900</v>
      </c>
      <c r="J15" s="9"/>
      <c r="K15" s="21"/>
      <c r="L15" s="9"/>
      <c r="M15" s="9"/>
      <c r="N15" s="11">
        <f t="shared" si="1"/>
        <v>1900</v>
      </c>
      <c r="O15" s="11">
        <f t="shared" si="2"/>
        <v>0</v>
      </c>
      <c r="P15" s="11">
        <f t="shared" si="3"/>
        <v>1900</v>
      </c>
      <c r="Q15" s="6" t="str">
        <f>IF(Players!$B$3="","",IF(P15&lt;=0,"Fully Paid",IF(O15&gt;0,"Partial","Unpaid")))</f>
        <v>Unpaid</v>
      </c>
    </row>
    <row r="16" spans="1:17" x14ac:dyDescent="0.45">
      <c r="A16" s="10">
        <f>Players!A4</f>
        <v>3</v>
      </c>
      <c r="B16" s="10" t="str">
        <f>Players!B4</f>
        <v>Chris Nguyen</v>
      </c>
      <c r="C16" s="19">
        <f>IF(Players!$B$4="",0,Summary!N13)</f>
        <v>1700</v>
      </c>
      <c r="D16" s="11">
        <f>IF(Players!$B$4="",0,$B$3)</f>
        <v>300</v>
      </c>
      <c r="E16" s="6" t="str">
        <f>IF(Players!$B$4="","",$B$4)</f>
        <v>Refundable</v>
      </c>
      <c r="F16" s="9"/>
      <c r="G16" s="21"/>
      <c r="H16" s="9"/>
      <c r="I16" s="11">
        <f t="shared" si="0"/>
        <v>1700</v>
      </c>
      <c r="J16" s="9"/>
      <c r="K16" s="21"/>
      <c r="L16" s="9"/>
      <c r="M16" s="9"/>
      <c r="N16" s="11">
        <f t="shared" si="1"/>
        <v>1700</v>
      </c>
      <c r="O16" s="11">
        <f t="shared" si="2"/>
        <v>0</v>
      </c>
      <c r="P16" s="11">
        <f t="shared" si="3"/>
        <v>1700</v>
      </c>
      <c r="Q16" s="6" t="str">
        <f>IF(Players!$B$4="","",IF(P16&lt;=0,"Fully Paid",IF(O16&gt;0,"Partial","Unpaid")))</f>
        <v>Unpaid</v>
      </c>
    </row>
    <row r="17" spans="1:17" x14ac:dyDescent="0.45">
      <c r="A17" s="10">
        <f>Players!A5</f>
        <v>4</v>
      </c>
      <c r="B17" s="10" t="str">
        <f>Players!B5</f>
        <v>Dave Patel</v>
      </c>
      <c r="C17" s="19">
        <f>IF(Players!$B$5="",0,Summary!N14)</f>
        <v>2100</v>
      </c>
      <c r="D17" s="11">
        <f>IF(Players!$B$5="",0,$B$3)</f>
        <v>300</v>
      </c>
      <c r="E17" s="6" t="str">
        <f>IF(Players!$B$5="","",$B$4)</f>
        <v>Refundable</v>
      </c>
      <c r="F17" s="9"/>
      <c r="G17" s="21"/>
      <c r="H17" s="9"/>
      <c r="I17" s="11">
        <f t="shared" si="0"/>
        <v>2100</v>
      </c>
      <c r="J17" s="9"/>
      <c r="K17" s="21"/>
      <c r="L17" s="9"/>
      <c r="M17" s="9"/>
      <c r="N17" s="11">
        <f t="shared" si="1"/>
        <v>2100</v>
      </c>
      <c r="O17" s="11">
        <f t="shared" si="2"/>
        <v>0</v>
      </c>
      <c r="P17" s="11">
        <f t="shared" si="3"/>
        <v>2100</v>
      </c>
      <c r="Q17" s="6" t="str">
        <f>IF(Players!$B$5="","",IF(P17&lt;=0,"Fully Paid",IF(O17&gt;0,"Partial","Unpaid")))</f>
        <v>Unpaid</v>
      </c>
    </row>
    <row r="18" spans="1:17" x14ac:dyDescent="0.45">
      <c r="A18" s="10">
        <f>Players!A6</f>
        <v>5</v>
      </c>
      <c r="B18" s="10" t="str">
        <f>Players!B6</f>
        <v>Ethan Wright</v>
      </c>
      <c r="C18" s="19">
        <f>IF(Players!$B$6="",0,Summary!N15)</f>
        <v>2100</v>
      </c>
      <c r="D18" s="11">
        <f>IF(Players!$B$6="",0,$B$3)</f>
        <v>300</v>
      </c>
      <c r="E18" s="6" t="str">
        <f>IF(Players!$B$6="","",$B$4)</f>
        <v>Refundable</v>
      </c>
      <c r="F18" s="9"/>
      <c r="G18" s="21"/>
      <c r="H18" s="9"/>
      <c r="I18" s="11">
        <f t="shared" si="0"/>
        <v>2100</v>
      </c>
      <c r="J18" s="9"/>
      <c r="K18" s="21"/>
      <c r="L18" s="9"/>
      <c r="M18" s="9"/>
      <c r="N18" s="11">
        <f t="shared" si="1"/>
        <v>2100</v>
      </c>
      <c r="O18" s="11">
        <f t="shared" si="2"/>
        <v>0</v>
      </c>
      <c r="P18" s="11">
        <f t="shared" si="3"/>
        <v>2100</v>
      </c>
      <c r="Q18" s="6" t="str">
        <f>IF(Players!$B$6="","",IF(P18&lt;=0,"Fully Paid",IF(O18&gt;0,"Partial","Unpaid")))</f>
        <v>Unpaid</v>
      </c>
    </row>
    <row r="19" spans="1:17" x14ac:dyDescent="0.45">
      <c r="A19" s="10">
        <f>Players!A7</f>
        <v>6</v>
      </c>
      <c r="B19" s="10" t="str">
        <f>Players!B7</f>
        <v>Frank Lopez</v>
      </c>
      <c r="C19" s="19">
        <f>IF(Players!$B$7="",0,Summary!N16)</f>
        <v>2000</v>
      </c>
      <c r="D19" s="11">
        <f>IF(Players!$B$7="",0,$B$3)</f>
        <v>300</v>
      </c>
      <c r="E19" s="6" t="str">
        <f>IF(Players!$B$7="","",$B$4)</f>
        <v>Refundable</v>
      </c>
      <c r="F19" s="9"/>
      <c r="G19" s="21"/>
      <c r="H19" s="9"/>
      <c r="I19" s="11">
        <f t="shared" si="0"/>
        <v>2000</v>
      </c>
      <c r="J19" s="9"/>
      <c r="K19" s="21"/>
      <c r="L19" s="9"/>
      <c r="M19" s="9"/>
      <c r="N19" s="11">
        <f t="shared" si="1"/>
        <v>2000</v>
      </c>
      <c r="O19" s="11">
        <f t="shared" si="2"/>
        <v>0</v>
      </c>
      <c r="P19" s="11">
        <f t="shared" si="3"/>
        <v>2000</v>
      </c>
      <c r="Q19" s="6" t="str">
        <f>IF(Players!$B$7="","",IF(P19&lt;=0,"Fully Paid",IF(O19&gt;0,"Partial","Unpaid")))</f>
        <v>Unpaid</v>
      </c>
    </row>
    <row r="20" spans="1:17" x14ac:dyDescent="0.45">
      <c r="A20" s="10">
        <f>Players!A8</f>
        <v>7</v>
      </c>
      <c r="B20" s="10" t="str">
        <f>Players!B8</f>
        <v>George Kim</v>
      </c>
      <c r="C20" s="19">
        <f>IF(Players!$B$8="",0,Summary!N17)</f>
        <v>1650</v>
      </c>
      <c r="D20" s="11">
        <f>IF(Players!$B$8="",0,$B$3)</f>
        <v>300</v>
      </c>
      <c r="E20" s="6" t="str">
        <f>IF(Players!$B$8="","",$B$4)</f>
        <v>Refundable</v>
      </c>
      <c r="F20" s="9"/>
      <c r="G20" s="21"/>
      <c r="H20" s="9"/>
      <c r="I20" s="11">
        <f t="shared" si="0"/>
        <v>1650</v>
      </c>
      <c r="J20" s="9"/>
      <c r="K20" s="21"/>
      <c r="L20" s="9"/>
      <c r="M20" s="9"/>
      <c r="N20" s="11">
        <f t="shared" si="1"/>
        <v>1650</v>
      </c>
      <c r="O20" s="11">
        <f t="shared" si="2"/>
        <v>0</v>
      </c>
      <c r="P20" s="11">
        <f t="shared" si="3"/>
        <v>1650</v>
      </c>
      <c r="Q20" s="6" t="str">
        <f>IF(Players!$B$8="","",IF(P20&lt;=0,"Fully Paid",IF(O20&gt;0,"Partial","Unpaid")))</f>
        <v>Unpaid</v>
      </c>
    </row>
    <row r="21" spans="1:17" x14ac:dyDescent="0.45">
      <c r="A21" s="10">
        <f>Players!A9</f>
        <v>8</v>
      </c>
      <c r="B21" s="10" t="str">
        <f>Players!B9</f>
        <v>Harry Singh</v>
      </c>
      <c r="C21" s="19">
        <f>IF(Players!$B$9="",0,Summary!N18)</f>
        <v>1650</v>
      </c>
      <c r="D21" s="11">
        <f>IF(Players!$B$9="",0,$B$3)</f>
        <v>300</v>
      </c>
      <c r="E21" s="6" t="str">
        <f>IF(Players!$B$9="","",$B$4)</f>
        <v>Refundable</v>
      </c>
      <c r="F21" s="9"/>
      <c r="G21" s="21"/>
      <c r="H21" s="9"/>
      <c r="I21" s="11">
        <f t="shared" si="0"/>
        <v>1650</v>
      </c>
      <c r="J21" s="9"/>
      <c r="K21" s="21"/>
      <c r="L21" s="9"/>
      <c r="M21" s="9"/>
      <c r="N21" s="11">
        <f t="shared" si="1"/>
        <v>1650</v>
      </c>
      <c r="O21" s="11">
        <f t="shared" si="2"/>
        <v>0</v>
      </c>
      <c r="P21" s="11">
        <f t="shared" si="3"/>
        <v>1650</v>
      </c>
      <c r="Q21" s="6" t="str">
        <f>IF(Players!$B$9="","",IF(P21&lt;=0,"Fully Paid",IF(O21&gt;0,"Partial","Unpaid")))</f>
        <v>Unpaid</v>
      </c>
    </row>
    <row r="22" spans="1:17" x14ac:dyDescent="0.45">
      <c r="A22" s="10">
        <f>Players!A10</f>
        <v>9</v>
      </c>
      <c r="B22" s="10">
        <f>Players!B10</f>
        <v>0</v>
      </c>
      <c r="C22" s="19">
        <f>IF(Players!$B$10="",0,Summary!N19)</f>
        <v>0</v>
      </c>
      <c r="D22" s="11">
        <f>IF(Players!$B$10="",0,$B$3)</f>
        <v>0</v>
      </c>
      <c r="E22" s="6" t="str">
        <f>IF(Players!$B$10="","",$B$4)</f>
        <v/>
      </c>
      <c r="F22" s="9"/>
      <c r="G22" s="21"/>
      <c r="H22" s="9"/>
      <c r="I22" s="11">
        <f t="shared" si="0"/>
        <v>0</v>
      </c>
      <c r="J22" s="9"/>
      <c r="K22" s="21"/>
      <c r="L22" s="9"/>
      <c r="M22" s="9"/>
      <c r="N22" s="11">
        <f t="shared" si="1"/>
        <v>0</v>
      </c>
      <c r="O22" s="11">
        <f t="shared" si="2"/>
        <v>0</v>
      </c>
      <c r="P22" s="11">
        <f t="shared" si="3"/>
        <v>0</v>
      </c>
      <c r="Q22" s="6" t="str">
        <f>IF(Players!$B$10="","",IF(P22&lt;=0,"Fully Paid",IF(O22&gt;0,"Partial","Unpaid")))</f>
        <v/>
      </c>
    </row>
    <row r="23" spans="1:17" x14ac:dyDescent="0.45">
      <c r="A23" s="10">
        <f>Players!A11</f>
        <v>10</v>
      </c>
      <c r="B23" s="10">
        <f>Players!B11</f>
        <v>0</v>
      </c>
      <c r="C23" s="19">
        <f>IF(Players!$B$11="",0,Summary!N20)</f>
        <v>0</v>
      </c>
      <c r="D23" s="11">
        <f>IF(Players!$B$11="",0,$B$3)</f>
        <v>0</v>
      </c>
      <c r="E23" s="6" t="str">
        <f>IF(Players!$B$11="","",$B$4)</f>
        <v/>
      </c>
      <c r="F23" s="9"/>
      <c r="G23" s="21"/>
      <c r="H23" s="9"/>
      <c r="I23" s="11">
        <f t="shared" si="0"/>
        <v>0</v>
      </c>
      <c r="J23" s="9"/>
      <c r="K23" s="21"/>
      <c r="L23" s="9"/>
      <c r="M23" s="9"/>
      <c r="N23" s="11">
        <f t="shared" si="1"/>
        <v>0</v>
      </c>
      <c r="O23" s="11">
        <f t="shared" si="2"/>
        <v>0</v>
      </c>
      <c r="P23" s="11">
        <f t="shared" si="3"/>
        <v>0</v>
      </c>
      <c r="Q23" s="6" t="str">
        <f>IF(Players!$B$11="","",IF(P23&lt;=0,"Fully Paid",IF(O23&gt;0,"Partial","Unpaid")))</f>
        <v/>
      </c>
    </row>
    <row r="24" spans="1:17" x14ac:dyDescent="0.45">
      <c r="A24" s="10">
        <f>Players!A12</f>
        <v>11</v>
      </c>
      <c r="B24" s="10">
        <f>Players!B12</f>
        <v>0</v>
      </c>
      <c r="C24" s="19">
        <f>IF(Players!$B$12="",0,Summary!N21)</f>
        <v>0</v>
      </c>
      <c r="D24" s="11">
        <f>IF(Players!$B$12="",0,$B$3)</f>
        <v>0</v>
      </c>
      <c r="E24" s="6" t="str">
        <f>IF(Players!$B$12="","",$B$4)</f>
        <v/>
      </c>
      <c r="F24" s="9"/>
      <c r="G24" s="21"/>
      <c r="H24" s="9"/>
      <c r="I24" s="11">
        <f t="shared" si="0"/>
        <v>0</v>
      </c>
      <c r="J24" s="9"/>
      <c r="K24" s="21"/>
      <c r="L24" s="9"/>
      <c r="M24" s="9"/>
      <c r="N24" s="11">
        <f t="shared" si="1"/>
        <v>0</v>
      </c>
      <c r="O24" s="11">
        <f t="shared" si="2"/>
        <v>0</v>
      </c>
      <c r="P24" s="11">
        <f t="shared" si="3"/>
        <v>0</v>
      </c>
      <c r="Q24" s="6" t="str">
        <f>IF(Players!$B$12="","",IF(P24&lt;=0,"Fully Paid",IF(O24&gt;0,"Partial","Unpaid")))</f>
        <v/>
      </c>
    </row>
    <row r="25" spans="1:17" x14ac:dyDescent="0.45">
      <c r="A25" s="10">
        <f>Players!A13</f>
        <v>12</v>
      </c>
      <c r="B25" s="10">
        <f>Players!B13</f>
        <v>0</v>
      </c>
      <c r="C25" s="19">
        <f>IF(Players!$B$13="",0,Summary!N22)</f>
        <v>0</v>
      </c>
      <c r="D25" s="11">
        <f>IF(Players!$B$13="",0,$B$3)</f>
        <v>0</v>
      </c>
      <c r="E25" s="6" t="str">
        <f>IF(Players!$B$13="","",$B$4)</f>
        <v/>
      </c>
      <c r="F25" s="9"/>
      <c r="G25" s="21"/>
      <c r="H25" s="9"/>
      <c r="I25" s="11">
        <f t="shared" si="0"/>
        <v>0</v>
      </c>
      <c r="J25" s="9"/>
      <c r="K25" s="21"/>
      <c r="L25" s="9"/>
      <c r="M25" s="9"/>
      <c r="N25" s="11">
        <f t="shared" si="1"/>
        <v>0</v>
      </c>
      <c r="O25" s="11">
        <f t="shared" si="2"/>
        <v>0</v>
      </c>
      <c r="P25" s="11">
        <f t="shared" si="3"/>
        <v>0</v>
      </c>
      <c r="Q25" s="6" t="str">
        <f>IF(Players!$B$13="","",IF(P25&lt;=0,"Fully Paid",IF(O25&gt;0,"Partial","Unpaid")))</f>
        <v/>
      </c>
    </row>
    <row r="26" spans="1:17" x14ac:dyDescent="0.45">
      <c r="A26" s="10">
        <f>Players!A14</f>
        <v>13</v>
      </c>
      <c r="B26" s="10">
        <f>Players!B14</f>
        <v>0</v>
      </c>
      <c r="C26" s="19">
        <f>IF(Players!$B$14="",0,Summary!N23)</f>
        <v>0</v>
      </c>
      <c r="D26" s="11">
        <f>IF(Players!$B$14="",0,$B$3)</f>
        <v>0</v>
      </c>
      <c r="E26" s="6" t="str">
        <f>IF(Players!$B$14="","",$B$4)</f>
        <v/>
      </c>
      <c r="F26" s="9"/>
      <c r="G26" s="21"/>
      <c r="H26" s="9"/>
      <c r="I26" s="11">
        <f t="shared" si="0"/>
        <v>0</v>
      </c>
      <c r="J26" s="9"/>
      <c r="K26" s="21"/>
      <c r="L26" s="9"/>
      <c r="M26" s="9"/>
      <c r="N26" s="11">
        <f t="shared" si="1"/>
        <v>0</v>
      </c>
      <c r="O26" s="11">
        <f t="shared" si="2"/>
        <v>0</v>
      </c>
      <c r="P26" s="11">
        <f t="shared" si="3"/>
        <v>0</v>
      </c>
      <c r="Q26" s="6" t="str">
        <f>IF(Players!$B$14="","",IF(P26&lt;=0,"Fully Paid",IF(O26&gt;0,"Partial","Unpaid")))</f>
        <v/>
      </c>
    </row>
    <row r="27" spans="1:17" x14ac:dyDescent="0.45">
      <c r="A27" s="10">
        <f>Players!A15</f>
        <v>14</v>
      </c>
      <c r="B27" s="10">
        <f>Players!B15</f>
        <v>0</v>
      </c>
      <c r="C27" s="19">
        <f>IF(Players!$B$15="",0,Summary!N24)</f>
        <v>0</v>
      </c>
      <c r="D27" s="11">
        <f>IF(Players!$B$15="",0,$B$3)</f>
        <v>0</v>
      </c>
      <c r="E27" s="6" t="str">
        <f>IF(Players!$B$15="","",$B$4)</f>
        <v/>
      </c>
      <c r="F27" s="9"/>
      <c r="G27" s="21"/>
      <c r="H27" s="9"/>
      <c r="I27" s="11">
        <f t="shared" si="0"/>
        <v>0</v>
      </c>
      <c r="J27" s="9"/>
      <c r="K27" s="21"/>
      <c r="L27" s="9"/>
      <c r="M27" s="9"/>
      <c r="N27" s="11">
        <f t="shared" si="1"/>
        <v>0</v>
      </c>
      <c r="O27" s="11">
        <f t="shared" si="2"/>
        <v>0</v>
      </c>
      <c r="P27" s="11">
        <f t="shared" si="3"/>
        <v>0</v>
      </c>
      <c r="Q27" s="6" t="str">
        <f>IF(Players!$B$15="","",IF(P27&lt;=0,"Fully Paid",IF(O27&gt;0,"Partial","Unpaid")))</f>
        <v/>
      </c>
    </row>
    <row r="28" spans="1:17" x14ac:dyDescent="0.45">
      <c r="A28" s="10">
        <f>Players!A16</f>
        <v>15</v>
      </c>
      <c r="B28" s="10">
        <f>Players!B16</f>
        <v>0</v>
      </c>
      <c r="C28" s="19">
        <f>IF(Players!$B$16="",0,Summary!N25)</f>
        <v>0</v>
      </c>
      <c r="D28" s="11">
        <f>IF(Players!$B$16="",0,$B$3)</f>
        <v>0</v>
      </c>
      <c r="E28" s="6" t="str">
        <f>IF(Players!$B$16="","",$B$4)</f>
        <v/>
      </c>
      <c r="F28" s="9"/>
      <c r="G28" s="21"/>
      <c r="H28" s="9"/>
      <c r="I28" s="11">
        <f t="shared" si="0"/>
        <v>0</v>
      </c>
      <c r="J28" s="9"/>
      <c r="K28" s="21"/>
      <c r="L28" s="9"/>
      <c r="M28" s="9"/>
      <c r="N28" s="11">
        <f t="shared" si="1"/>
        <v>0</v>
      </c>
      <c r="O28" s="11">
        <f t="shared" si="2"/>
        <v>0</v>
      </c>
      <c r="P28" s="11">
        <f t="shared" si="3"/>
        <v>0</v>
      </c>
      <c r="Q28" s="6" t="str">
        <f>IF(Players!$B$16="","",IF(P28&lt;=0,"Fully Paid",IF(O28&gt;0,"Partial","Unpaid")))</f>
        <v/>
      </c>
    </row>
    <row r="29" spans="1:17" x14ac:dyDescent="0.45">
      <c r="A29" s="10">
        <f>Players!A17</f>
        <v>16</v>
      </c>
      <c r="B29" s="10">
        <f>Players!B17</f>
        <v>0</v>
      </c>
      <c r="C29" s="19">
        <f>IF(Players!$B$17="",0,Summary!N26)</f>
        <v>0</v>
      </c>
      <c r="D29" s="11">
        <f>IF(Players!$B$17="",0,$B$3)</f>
        <v>0</v>
      </c>
      <c r="E29" s="6" t="str">
        <f>IF(Players!$B$17="","",$B$4)</f>
        <v/>
      </c>
      <c r="F29" s="9"/>
      <c r="G29" s="21"/>
      <c r="H29" s="9"/>
      <c r="I29" s="11">
        <f t="shared" si="0"/>
        <v>0</v>
      </c>
      <c r="J29" s="9"/>
      <c r="K29" s="21"/>
      <c r="L29" s="9"/>
      <c r="M29" s="9"/>
      <c r="N29" s="11">
        <f t="shared" si="1"/>
        <v>0</v>
      </c>
      <c r="O29" s="11">
        <f t="shared" si="2"/>
        <v>0</v>
      </c>
      <c r="P29" s="11">
        <f t="shared" si="3"/>
        <v>0</v>
      </c>
      <c r="Q29" s="6" t="str">
        <f>IF(Players!$B$17="","",IF(P29&lt;=0,"Fully Paid",IF(O29&gt;0,"Partial","Unpaid")))</f>
        <v/>
      </c>
    </row>
    <row r="30" spans="1:17" x14ac:dyDescent="0.45">
      <c r="A30" s="10">
        <f>Players!A18</f>
        <v>17</v>
      </c>
      <c r="B30" s="10">
        <f>Players!B18</f>
        <v>0</v>
      </c>
      <c r="C30" s="19">
        <f>IF(Players!$B$18="",0,Summary!N27)</f>
        <v>0</v>
      </c>
      <c r="D30" s="11">
        <f>IF(Players!$B$18="",0,$B$3)</f>
        <v>0</v>
      </c>
      <c r="E30" s="6" t="str">
        <f>IF(Players!$B$18="","",$B$4)</f>
        <v/>
      </c>
      <c r="F30" s="9"/>
      <c r="G30" s="21"/>
      <c r="H30" s="9"/>
      <c r="I30" s="11">
        <f t="shared" si="0"/>
        <v>0</v>
      </c>
      <c r="J30" s="9"/>
      <c r="K30" s="21"/>
      <c r="L30" s="9"/>
      <c r="M30" s="9"/>
      <c r="N30" s="11">
        <f t="shared" si="1"/>
        <v>0</v>
      </c>
      <c r="O30" s="11">
        <f t="shared" si="2"/>
        <v>0</v>
      </c>
      <c r="P30" s="11">
        <f t="shared" si="3"/>
        <v>0</v>
      </c>
      <c r="Q30" s="6" t="str">
        <f>IF(Players!$B$18="","",IF(P30&lt;=0,"Fully Paid",IF(O30&gt;0,"Partial","Unpaid")))</f>
        <v/>
      </c>
    </row>
    <row r="31" spans="1:17" x14ac:dyDescent="0.45">
      <c r="A31" s="10">
        <f>Players!A19</f>
        <v>18</v>
      </c>
      <c r="B31" s="10">
        <f>Players!B19</f>
        <v>0</v>
      </c>
      <c r="C31" s="19">
        <f>IF(Players!$B$19="",0,Summary!N28)</f>
        <v>0</v>
      </c>
      <c r="D31" s="11">
        <f>IF(Players!$B$19="",0,$B$3)</f>
        <v>0</v>
      </c>
      <c r="E31" s="6" t="str">
        <f>IF(Players!$B$19="","",$B$4)</f>
        <v/>
      </c>
      <c r="F31" s="9"/>
      <c r="G31" s="21"/>
      <c r="H31" s="9"/>
      <c r="I31" s="11">
        <f t="shared" si="0"/>
        <v>0</v>
      </c>
      <c r="J31" s="9"/>
      <c r="K31" s="21"/>
      <c r="L31" s="9"/>
      <c r="M31" s="9"/>
      <c r="N31" s="11">
        <f t="shared" si="1"/>
        <v>0</v>
      </c>
      <c r="O31" s="11">
        <f t="shared" si="2"/>
        <v>0</v>
      </c>
      <c r="P31" s="11">
        <f t="shared" si="3"/>
        <v>0</v>
      </c>
      <c r="Q31" s="6" t="str">
        <f>IF(Players!$B$19="","",IF(P31&lt;=0,"Fully Paid",IF(O31&gt;0,"Partial","Unpaid")))</f>
        <v/>
      </c>
    </row>
    <row r="32" spans="1:17" x14ac:dyDescent="0.45">
      <c r="A32" s="10">
        <f>Players!A20</f>
        <v>19</v>
      </c>
      <c r="B32" s="10">
        <f>Players!B20</f>
        <v>0</v>
      </c>
      <c r="C32" s="19">
        <f>IF(Players!$B$20="",0,Summary!N29)</f>
        <v>0</v>
      </c>
      <c r="D32" s="11">
        <f>IF(Players!$B$20="",0,$B$3)</f>
        <v>0</v>
      </c>
      <c r="E32" s="6" t="str">
        <f>IF(Players!$B$20="","",$B$4)</f>
        <v/>
      </c>
      <c r="F32" s="9"/>
      <c r="G32" s="21"/>
      <c r="H32" s="9"/>
      <c r="I32" s="11">
        <f t="shared" si="0"/>
        <v>0</v>
      </c>
      <c r="J32" s="9"/>
      <c r="K32" s="21"/>
      <c r="L32" s="9"/>
      <c r="M32" s="9"/>
      <c r="N32" s="11">
        <f t="shared" si="1"/>
        <v>0</v>
      </c>
      <c r="O32" s="11">
        <f t="shared" si="2"/>
        <v>0</v>
      </c>
      <c r="P32" s="11">
        <f t="shared" si="3"/>
        <v>0</v>
      </c>
      <c r="Q32" s="6" t="str">
        <f>IF(Players!$B$20="","",IF(P32&lt;=0,"Fully Paid",IF(O32&gt;0,"Partial","Unpaid")))</f>
        <v/>
      </c>
    </row>
    <row r="33" spans="1:17" x14ac:dyDescent="0.45">
      <c r="A33" s="10">
        <f>Players!A21</f>
        <v>20</v>
      </c>
      <c r="B33" s="10">
        <f>Players!B21</f>
        <v>0</v>
      </c>
      <c r="C33" s="19">
        <f>IF(Players!$B$21="",0,Summary!N30)</f>
        <v>0</v>
      </c>
      <c r="D33" s="11">
        <f>IF(Players!$B$21="",0,$B$3)</f>
        <v>0</v>
      </c>
      <c r="E33" s="6" t="str">
        <f>IF(Players!$B$21="","",$B$4)</f>
        <v/>
      </c>
      <c r="F33" s="9"/>
      <c r="G33" s="21"/>
      <c r="H33" s="9"/>
      <c r="I33" s="11">
        <f t="shared" si="0"/>
        <v>0</v>
      </c>
      <c r="J33" s="9"/>
      <c r="K33" s="21"/>
      <c r="L33" s="9"/>
      <c r="M33" s="9"/>
      <c r="N33" s="11">
        <f t="shared" si="1"/>
        <v>0</v>
      </c>
      <c r="O33" s="11">
        <f t="shared" si="2"/>
        <v>0</v>
      </c>
      <c r="P33" s="11">
        <f t="shared" si="3"/>
        <v>0</v>
      </c>
      <c r="Q33" s="6" t="str">
        <f>IF(Players!$B$21="","",IF(P33&lt;=0,"Fully Paid",IF(O33&gt;0,"Partial","Unpaid")))</f>
        <v/>
      </c>
    </row>
    <row r="34" spans="1:17" x14ac:dyDescent="0.45">
      <c r="A34" s="10">
        <f>Players!A22</f>
        <v>21</v>
      </c>
      <c r="B34" s="10">
        <f>Players!B22</f>
        <v>0</v>
      </c>
      <c r="C34" s="19">
        <f>IF(Players!$B$22="",0,Summary!N31)</f>
        <v>0</v>
      </c>
      <c r="D34" s="11">
        <f>IF(Players!$B$22="",0,$B$3)</f>
        <v>0</v>
      </c>
      <c r="E34" s="6" t="str">
        <f>IF(Players!$B$22="","",$B$4)</f>
        <v/>
      </c>
      <c r="F34" s="9"/>
      <c r="G34" s="21"/>
      <c r="H34" s="9"/>
      <c r="I34" s="11">
        <f t="shared" si="0"/>
        <v>0</v>
      </c>
      <c r="J34" s="9"/>
      <c r="K34" s="21"/>
      <c r="L34" s="9"/>
      <c r="M34" s="9"/>
      <c r="N34" s="11">
        <f t="shared" si="1"/>
        <v>0</v>
      </c>
      <c r="O34" s="11">
        <f t="shared" si="2"/>
        <v>0</v>
      </c>
      <c r="P34" s="11">
        <f t="shared" si="3"/>
        <v>0</v>
      </c>
      <c r="Q34" s="6" t="str">
        <f>IF(Players!$B$22="","",IF(P34&lt;=0,"Fully Paid",IF(O34&gt;0,"Partial","Unpaid")))</f>
        <v/>
      </c>
    </row>
    <row r="35" spans="1:17" x14ac:dyDescent="0.45">
      <c r="A35" s="10">
        <f>Players!A23</f>
        <v>22</v>
      </c>
      <c r="B35" s="10">
        <f>Players!B23</f>
        <v>0</v>
      </c>
      <c r="C35" s="19">
        <f>IF(Players!$B$23="",0,Summary!N32)</f>
        <v>0</v>
      </c>
      <c r="D35" s="11">
        <f>IF(Players!$B$23="",0,$B$3)</f>
        <v>0</v>
      </c>
      <c r="E35" s="6" t="str">
        <f>IF(Players!$B$23="","",$B$4)</f>
        <v/>
      </c>
      <c r="F35" s="9"/>
      <c r="G35" s="21"/>
      <c r="H35" s="9"/>
      <c r="I35" s="11">
        <f t="shared" si="0"/>
        <v>0</v>
      </c>
      <c r="J35" s="9"/>
      <c r="K35" s="21"/>
      <c r="L35" s="9"/>
      <c r="M35" s="9"/>
      <c r="N35" s="11">
        <f t="shared" si="1"/>
        <v>0</v>
      </c>
      <c r="O35" s="11">
        <f t="shared" si="2"/>
        <v>0</v>
      </c>
      <c r="P35" s="11">
        <f t="shared" si="3"/>
        <v>0</v>
      </c>
      <c r="Q35" s="6" t="str">
        <f>IF(Players!$B$23="","",IF(P35&lt;=0,"Fully Paid",IF(O35&gt;0,"Partial","Unpaid")))</f>
        <v/>
      </c>
    </row>
    <row r="36" spans="1:17" x14ac:dyDescent="0.45">
      <c r="A36" s="10">
        <f>Players!A24</f>
        <v>23</v>
      </c>
      <c r="B36" s="10">
        <f>Players!B24</f>
        <v>0</v>
      </c>
      <c r="C36" s="19">
        <f>IF(Players!$B$24="",0,Summary!N33)</f>
        <v>0</v>
      </c>
      <c r="D36" s="11">
        <f>IF(Players!$B$24="",0,$B$3)</f>
        <v>0</v>
      </c>
      <c r="E36" s="6" t="str">
        <f>IF(Players!$B$24="","",$B$4)</f>
        <v/>
      </c>
      <c r="F36" s="9"/>
      <c r="G36" s="21"/>
      <c r="H36" s="9"/>
      <c r="I36" s="11">
        <f t="shared" si="0"/>
        <v>0</v>
      </c>
      <c r="J36" s="9"/>
      <c r="K36" s="21"/>
      <c r="L36" s="9"/>
      <c r="M36" s="9"/>
      <c r="N36" s="11">
        <f t="shared" si="1"/>
        <v>0</v>
      </c>
      <c r="O36" s="11">
        <f t="shared" si="2"/>
        <v>0</v>
      </c>
      <c r="P36" s="11">
        <f t="shared" si="3"/>
        <v>0</v>
      </c>
      <c r="Q36" s="6" t="str">
        <f>IF(Players!$B$24="","",IF(P36&lt;=0,"Fully Paid",IF(O36&gt;0,"Partial","Unpaid")))</f>
        <v/>
      </c>
    </row>
    <row r="37" spans="1:17" x14ac:dyDescent="0.45">
      <c r="A37" s="10">
        <f>Players!A25</f>
        <v>24</v>
      </c>
      <c r="B37" s="10">
        <f>Players!B25</f>
        <v>0</v>
      </c>
      <c r="C37" s="19">
        <f>IF(Players!$B$25="",0,Summary!N34)</f>
        <v>0</v>
      </c>
      <c r="D37" s="11">
        <f>IF(Players!$B$25="",0,$B$3)</f>
        <v>0</v>
      </c>
      <c r="E37" s="6" t="str">
        <f>IF(Players!$B$25="","",$B$4)</f>
        <v/>
      </c>
      <c r="F37" s="9"/>
      <c r="G37" s="21"/>
      <c r="H37" s="9"/>
      <c r="I37" s="11">
        <f t="shared" si="0"/>
        <v>0</v>
      </c>
      <c r="J37" s="9"/>
      <c r="K37" s="21"/>
      <c r="L37" s="9"/>
      <c r="M37" s="9"/>
      <c r="N37" s="11">
        <f t="shared" si="1"/>
        <v>0</v>
      </c>
      <c r="O37" s="11">
        <f t="shared" si="2"/>
        <v>0</v>
      </c>
      <c r="P37" s="11">
        <f t="shared" si="3"/>
        <v>0</v>
      </c>
      <c r="Q37" s="6" t="str">
        <f>IF(Players!$B$25="","",IF(P37&lt;=0,"Fully Paid",IF(O37&gt;0,"Partial","Unpaid")))</f>
        <v/>
      </c>
    </row>
    <row r="38" spans="1:17" x14ac:dyDescent="0.45">
      <c r="A38" s="10">
        <f>Players!A26</f>
        <v>25</v>
      </c>
      <c r="B38" s="10">
        <f>Players!B26</f>
        <v>0</v>
      </c>
      <c r="C38" s="19">
        <f>IF(Players!$B$26="",0,Summary!N35)</f>
        <v>0</v>
      </c>
      <c r="D38" s="11">
        <f>IF(Players!$B$26="",0,$B$3)</f>
        <v>0</v>
      </c>
      <c r="E38" s="6" t="str">
        <f>IF(Players!$B$26="","",$B$4)</f>
        <v/>
      </c>
      <c r="F38" s="9"/>
      <c r="G38" s="21"/>
      <c r="H38" s="9"/>
      <c r="I38" s="11">
        <f t="shared" si="0"/>
        <v>0</v>
      </c>
      <c r="J38" s="9"/>
      <c r="K38" s="21"/>
      <c r="L38" s="9"/>
      <c r="M38" s="9"/>
      <c r="N38" s="11">
        <f t="shared" si="1"/>
        <v>0</v>
      </c>
      <c r="O38" s="11">
        <f t="shared" si="2"/>
        <v>0</v>
      </c>
      <c r="P38" s="11">
        <f t="shared" si="3"/>
        <v>0</v>
      </c>
      <c r="Q38" s="6" t="str">
        <f>IF(Players!$B$26="","",IF(P38&lt;=0,"Fully Paid",IF(O38&gt;0,"Partial","Unpaid")))</f>
        <v/>
      </c>
    </row>
    <row r="39" spans="1:17" x14ac:dyDescent="0.45">
      <c r="A39" s="10">
        <f>Players!A27</f>
        <v>26</v>
      </c>
      <c r="B39" s="10">
        <f>Players!B27</f>
        <v>0</v>
      </c>
      <c r="C39" s="19">
        <f>IF(Players!$B$27="",0,Summary!N36)</f>
        <v>0</v>
      </c>
      <c r="D39" s="11">
        <f>IF(Players!$B$27="",0,$B$3)</f>
        <v>0</v>
      </c>
      <c r="E39" s="6" t="str">
        <f>IF(Players!$B$27="","",$B$4)</f>
        <v/>
      </c>
      <c r="F39" s="9"/>
      <c r="G39" s="21"/>
      <c r="H39" s="9"/>
      <c r="I39" s="11">
        <f t="shared" si="0"/>
        <v>0</v>
      </c>
      <c r="J39" s="9"/>
      <c r="K39" s="21"/>
      <c r="L39" s="9"/>
      <c r="M39" s="9"/>
      <c r="N39" s="11">
        <f t="shared" si="1"/>
        <v>0</v>
      </c>
      <c r="O39" s="11">
        <f t="shared" si="2"/>
        <v>0</v>
      </c>
      <c r="P39" s="11">
        <f t="shared" si="3"/>
        <v>0</v>
      </c>
      <c r="Q39" s="6" t="str">
        <f>IF(Players!$B$27="","",IF(P39&lt;=0,"Fully Paid",IF(O39&gt;0,"Partial","Unpaid")))</f>
        <v/>
      </c>
    </row>
    <row r="40" spans="1:17" x14ac:dyDescent="0.45">
      <c r="A40" s="10">
        <f>Players!A28</f>
        <v>27</v>
      </c>
      <c r="B40" s="10">
        <f>Players!B28</f>
        <v>0</v>
      </c>
      <c r="C40" s="19">
        <f>IF(Players!$B$28="",0,Summary!N37)</f>
        <v>0</v>
      </c>
      <c r="D40" s="11">
        <f>IF(Players!$B$28="",0,$B$3)</f>
        <v>0</v>
      </c>
      <c r="E40" s="6" t="str">
        <f>IF(Players!$B$28="","",$B$4)</f>
        <v/>
      </c>
      <c r="F40" s="9"/>
      <c r="G40" s="21"/>
      <c r="H40" s="9"/>
      <c r="I40" s="11">
        <f t="shared" si="0"/>
        <v>0</v>
      </c>
      <c r="J40" s="9"/>
      <c r="K40" s="21"/>
      <c r="L40" s="9"/>
      <c r="M40" s="9"/>
      <c r="N40" s="11">
        <f t="shared" si="1"/>
        <v>0</v>
      </c>
      <c r="O40" s="11">
        <f t="shared" si="2"/>
        <v>0</v>
      </c>
      <c r="P40" s="11">
        <f t="shared" si="3"/>
        <v>0</v>
      </c>
      <c r="Q40" s="6" t="str">
        <f>IF(Players!$B$28="","",IF(P40&lt;=0,"Fully Paid",IF(O40&gt;0,"Partial","Unpaid")))</f>
        <v/>
      </c>
    </row>
    <row r="41" spans="1:17" x14ac:dyDescent="0.45">
      <c r="A41" s="10">
        <f>Players!A29</f>
        <v>28</v>
      </c>
      <c r="B41" s="10">
        <f>Players!B29</f>
        <v>0</v>
      </c>
      <c r="C41" s="19">
        <f>IF(Players!$B$29="",0,Summary!N38)</f>
        <v>0</v>
      </c>
      <c r="D41" s="11">
        <f>IF(Players!$B$29="",0,$B$3)</f>
        <v>0</v>
      </c>
      <c r="E41" s="6" t="str">
        <f>IF(Players!$B$29="","",$B$4)</f>
        <v/>
      </c>
      <c r="F41" s="9"/>
      <c r="G41" s="21"/>
      <c r="H41" s="9"/>
      <c r="I41" s="11">
        <f t="shared" si="0"/>
        <v>0</v>
      </c>
      <c r="J41" s="9"/>
      <c r="K41" s="21"/>
      <c r="L41" s="9"/>
      <c r="M41" s="9"/>
      <c r="N41" s="11">
        <f t="shared" si="1"/>
        <v>0</v>
      </c>
      <c r="O41" s="11">
        <f t="shared" si="2"/>
        <v>0</v>
      </c>
      <c r="P41" s="11">
        <f t="shared" si="3"/>
        <v>0</v>
      </c>
      <c r="Q41" s="6" t="str">
        <f>IF(Players!$B$29="","",IF(P41&lt;=0,"Fully Paid",IF(O41&gt;0,"Partial","Unpaid")))</f>
        <v/>
      </c>
    </row>
    <row r="42" spans="1:17" x14ac:dyDescent="0.45">
      <c r="A42" s="10">
        <f>Players!A30</f>
        <v>29</v>
      </c>
      <c r="B42" s="10">
        <f>Players!B30</f>
        <v>0</v>
      </c>
      <c r="C42" s="19">
        <f>IF(Players!$B$30="",0,Summary!N39)</f>
        <v>0</v>
      </c>
      <c r="D42" s="11">
        <f>IF(Players!$B$30="",0,$B$3)</f>
        <v>0</v>
      </c>
      <c r="E42" s="6" t="str">
        <f>IF(Players!$B$30="","",$B$4)</f>
        <v/>
      </c>
      <c r="F42" s="9"/>
      <c r="G42" s="21"/>
      <c r="H42" s="9"/>
      <c r="I42" s="11">
        <f t="shared" si="0"/>
        <v>0</v>
      </c>
      <c r="J42" s="9"/>
      <c r="K42" s="21"/>
      <c r="L42" s="9"/>
      <c r="M42" s="9"/>
      <c r="N42" s="11">
        <f t="shared" si="1"/>
        <v>0</v>
      </c>
      <c r="O42" s="11">
        <f t="shared" si="2"/>
        <v>0</v>
      </c>
      <c r="P42" s="11">
        <f t="shared" si="3"/>
        <v>0</v>
      </c>
      <c r="Q42" s="6" t="str">
        <f>IF(Players!$B$30="","",IF(P42&lt;=0,"Fully Paid",IF(O42&gt;0,"Partial","Unpaid")))</f>
        <v/>
      </c>
    </row>
    <row r="43" spans="1:17" x14ac:dyDescent="0.45">
      <c r="A43" s="10">
        <f>Players!A31</f>
        <v>30</v>
      </c>
      <c r="B43" s="10">
        <f>Players!B31</f>
        <v>0</v>
      </c>
      <c r="C43" s="19">
        <f>IF(Players!$B$31="",0,Summary!N40)</f>
        <v>0</v>
      </c>
      <c r="D43" s="11">
        <f>IF(Players!$B$31="",0,$B$3)</f>
        <v>0</v>
      </c>
      <c r="E43" s="6" t="str">
        <f>IF(Players!$B$31="","",$B$4)</f>
        <v/>
      </c>
      <c r="F43" s="9"/>
      <c r="G43" s="21"/>
      <c r="H43" s="9"/>
      <c r="I43" s="11">
        <f t="shared" si="0"/>
        <v>0</v>
      </c>
      <c r="J43" s="9"/>
      <c r="K43" s="21"/>
      <c r="L43" s="9"/>
      <c r="M43" s="9"/>
      <c r="N43" s="11">
        <f t="shared" si="1"/>
        <v>0</v>
      </c>
      <c r="O43" s="11">
        <f t="shared" si="2"/>
        <v>0</v>
      </c>
      <c r="P43" s="11">
        <f t="shared" si="3"/>
        <v>0</v>
      </c>
      <c r="Q43" s="6" t="str">
        <f>IF(Players!$B$31="","",IF(P43&lt;=0,"Fully Paid",IF(O43&gt;0,"Partial","Unpaid")))</f>
        <v/>
      </c>
    </row>
    <row r="44" spans="1:17" x14ac:dyDescent="0.45">
      <c r="A44" s="10">
        <f>Players!A32</f>
        <v>31</v>
      </c>
      <c r="B44" s="10">
        <f>Players!B32</f>
        <v>0</v>
      </c>
      <c r="C44" s="19">
        <f>IF(Players!$B$32="",0,Summary!N41)</f>
        <v>0</v>
      </c>
      <c r="D44" s="11">
        <f>IF(Players!$B$32="",0,$B$3)</f>
        <v>0</v>
      </c>
      <c r="E44" s="6" t="str">
        <f>IF(Players!$B$32="","",$B$4)</f>
        <v/>
      </c>
      <c r="F44" s="9"/>
      <c r="G44" s="21"/>
      <c r="H44" s="9"/>
      <c r="I44" s="11">
        <f t="shared" si="0"/>
        <v>0</v>
      </c>
      <c r="J44" s="9"/>
      <c r="K44" s="21"/>
      <c r="L44" s="9"/>
      <c r="M44" s="9"/>
      <c r="N44" s="11">
        <f t="shared" si="1"/>
        <v>0</v>
      </c>
      <c r="O44" s="11">
        <f t="shared" si="2"/>
        <v>0</v>
      </c>
      <c r="P44" s="11">
        <f t="shared" si="3"/>
        <v>0</v>
      </c>
      <c r="Q44" s="6" t="str">
        <f>IF(Players!$B$32="","",IF(P44&lt;=0,"Fully Paid",IF(O44&gt;0,"Partial","Unpaid")))</f>
        <v/>
      </c>
    </row>
    <row r="45" spans="1:17" x14ac:dyDescent="0.45">
      <c r="A45" s="10">
        <f>Players!A33</f>
        <v>32</v>
      </c>
      <c r="B45" s="10">
        <f>Players!B33</f>
        <v>0</v>
      </c>
      <c r="C45" s="19">
        <f>IF(Players!$B$33="",0,Summary!N42)</f>
        <v>0</v>
      </c>
      <c r="D45" s="11">
        <f>IF(Players!$B$33="",0,$B$3)</f>
        <v>0</v>
      </c>
      <c r="E45" s="6" t="str">
        <f>IF(Players!$B$33="","",$B$4)</f>
        <v/>
      </c>
      <c r="F45" s="9"/>
      <c r="G45" s="21"/>
      <c r="H45" s="9"/>
      <c r="I45" s="11">
        <f t="shared" si="0"/>
        <v>0</v>
      </c>
      <c r="J45" s="9"/>
      <c r="K45" s="21"/>
      <c r="L45" s="9"/>
      <c r="M45" s="9"/>
      <c r="N45" s="11">
        <f t="shared" si="1"/>
        <v>0</v>
      </c>
      <c r="O45" s="11">
        <f t="shared" si="2"/>
        <v>0</v>
      </c>
      <c r="P45" s="11">
        <f t="shared" si="3"/>
        <v>0</v>
      </c>
      <c r="Q45" s="6" t="str">
        <f>IF(Players!$B$33="","",IF(P45&lt;=0,"Fully Paid",IF(O45&gt;0,"Partial","Unpaid")))</f>
        <v/>
      </c>
    </row>
    <row r="46" spans="1:17" x14ac:dyDescent="0.45">
      <c r="A46" s="18"/>
      <c r="B46" s="12" t="s">
        <v>62</v>
      </c>
      <c r="C46" s="13">
        <f>SUM(C14:C45)</f>
        <v>15550</v>
      </c>
      <c r="D46" s="13">
        <f>SUM(D14:D45)</f>
        <v>2400</v>
      </c>
      <c r="E46" s="18"/>
      <c r="F46" s="13">
        <f>SUM(F14:F45)</f>
        <v>0</v>
      </c>
      <c r="G46" s="18"/>
      <c r="H46" s="13">
        <f>SUM(H14:H45)</f>
        <v>0</v>
      </c>
      <c r="I46" s="13">
        <f>SUM(I14:I45)</f>
        <v>15550</v>
      </c>
      <c r="J46" s="13">
        <f>SUM(J14:J45)</f>
        <v>0</v>
      </c>
      <c r="K46" s="18"/>
      <c r="L46" s="13">
        <f>SUM(L14:L45)</f>
        <v>0</v>
      </c>
      <c r="M46" s="13">
        <f>SUM(M14:M45)</f>
        <v>0</v>
      </c>
      <c r="N46" s="13">
        <f>SUM(N14:N45)</f>
        <v>15550</v>
      </c>
      <c r="O46" s="13">
        <f>SUM(O14:O45)</f>
        <v>0</v>
      </c>
      <c r="P46" s="13">
        <f>SUM(P14:P45)</f>
        <v>15550</v>
      </c>
      <c r="Q46" s="18"/>
    </row>
  </sheetData>
  <conditionalFormatting sqref="Q14:Q45">
    <cfRule type="cellIs" dxfId="1" priority="1" operator="equal">
      <formula>"Unpaid"</formula>
    </cfRule>
    <cfRule type="cellIs" dxfId="0" priority="2" operator="equal">
      <formula>"Fully Paid"</formula>
    </cfRule>
  </conditionalFormatting>
  <dataValidations count="1">
    <dataValidation type="list" allowBlank="1" sqref="B4 E14:E45" xr:uid="{00000000-0002-0000-0B00-000000000000}">
      <formula1>"Refundable,Non-Refundable"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showGridLines="0" workbookViewId="0"/>
  </sheetViews>
  <sheetFormatPr defaultRowHeight="14.25" x14ac:dyDescent="0.45"/>
  <cols>
    <col min="1" max="1" width="32" customWidth="1"/>
    <col min="2" max="2" width="20" customWidth="1"/>
    <col min="3" max="3" width="50" customWidth="1"/>
  </cols>
  <sheetData>
    <row r="1" spans="1:3" ht="17.649999999999999" x14ac:dyDescent="0.5">
      <c r="A1" s="1" t="s">
        <v>28</v>
      </c>
    </row>
    <row r="3" spans="1:3" x14ac:dyDescent="0.45">
      <c r="A3" s="4" t="s">
        <v>29</v>
      </c>
      <c r="B3" s="5" t="s">
        <v>30</v>
      </c>
    </row>
    <row r="4" spans="1:3" x14ac:dyDescent="0.45">
      <c r="A4" s="4" t="s">
        <v>31</v>
      </c>
      <c r="B4" s="6">
        <f>COUNTA(Players!B2:B33)</f>
        <v>8</v>
      </c>
    </row>
    <row r="5" spans="1:3" x14ac:dyDescent="0.45">
      <c r="A5" s="4" t="s">
        <v>32</v>
      </c>
      <c r="B5" s="6">
        <f>COUNTA(Rounds!C2:C13)</f>
        <v>4</v>
      </c>
    </row>
    <row r="6" spans="1:3" x14ac:dyDescent="0.45">
      <c r="A6" s="4" t="s">
        <v>33</v>
      </c>
      <c r="B6" s="7">
        <v>50</v>
      </c>
      <c r="C6" t="s">
        <v>34</v>
      </c>
    </row>
    <row r="7" spans="1:3" x14ac:dyDescent="0.45">
      <c r="A7" s="4" t="s">
        <v>35</v>
      </c>
      <c r="B7" s="5" t="s">
        <v>36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3"/>
  <sheetViews>
    <sheetView showGridLines="0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2" customWidth="1"/>
    <col min="2" max="2" width="26" customWidth="1"/>
  </cols>
  <sheetData>
    <row r="1" spans="1:2" x14ac:dyDescent="0.45">
      <c r="A1" s="8" t="s">
        <v>37</v>
      </c>
      <c r="B1" s="8" t="s">
        <v>38</v>
      </c>
    </row>
    <row r="2" spans="1:2" x14ac:dyDescent="0.45">
      <c r="A2" s="6">
        <v>1</v>
      </c>
      <c r="B2" s="5" t="s">
        <v>39</v>
      </c>
    </row>
    <row r="3" spans="1:2" x14ac:dyDescent="0.45">
      <c r="A3" s="6">
        <v>2</v>
      </c>
      <c r="B3" s="5" t="s">
        <v>40</v>
      </c>
    </row>
    <row r="4" spans="1:2" x14ac:dyDescent="0.45">
      <c r="A4" s="6">
        <v>3</v>
      </c>
      <c r="B4" s="5" t="s">
        <v>41</v>
      </c>
    </row>
    <row r="5" spans="1:2" x14ac:dyDescent="0.45">
      <c r="A5" s="6">
        <v>4</v>
      </c>
      <c r="B5" s="5" t="s">
        <v>42</v>
      </c>
    </row>
    <row r="6" spans="1:2" x14ac:dyDescent="0.45">
      <c r="A6" s="6">
        <v>5</v>
      </c>
      <c r="B6" s="5" t="s">
        <v>43</v>
      </c>
    </row>
    <row r="7" spans="1:2" x14ac:dyDescent="0.45">
      <c r="A7" s="6">
        <v>6</v>
      </c>
      <c r="B7" s="5" t="s">
        <v>44</v>
      </c>
    </row>
    <row r="8" spans="1:2" x14ac:dyDescent="0.45">
      <c r="A8" s="6">
        <v>7</v>
      </c>
      <c r="B8" s="5" t="s">
        <v>45</v>
      </c>
    </row>
    <row r="9" spans="1:2" x14ac:dyDescent="0.45">
      <c r="A9" s="6">
        <v>8</v>
      </c>
      <c r="B9" s="5" t="s">
        <v>46</v>
      </c>
    </row>
    <row r="10" spans="1:2" x14ac:dyDescent="0.45">
      <c r="A10" s="6">
        <v>9</v>
      </c>
      <c r="B10" s="5"/>
    </row>
    <row r="11" spans="1:2" x14ac:dyDescent="0.45">
      <c r="A11" s="6">
        <v>10</v>
      </c>
      <c r="B11" s="5"/>
    </row>
    <row r="12" spans="1:2" x14ac:dyDescent="0.45">
      <c r="A12" s="6">
        <v>11</v>
      </c>
      <c r="B12" s="5"/>
    </row>
    <row r="13" spans="1:2" x14ac:dyDescent="0.45">
      <c r="A13" s="6">
        <v>12</v>
      </c>
      <c r="B13" s="5"/>
    </row>
    <row r="14" spans="1:2" x14ac:dyDescent="0.45">
      <c r="A14" s="6">
        <v>13</v>
      </c>
      <c r="B14" s="5"/>
    </row>
    <row r="15" spans="1:2" x14ac:dyDescent="0.45">
      <c r="A15" s="6">
        <v>14</v>
      </c>
      <c r="B15" s="5"/>
    </row>
    <row r="16" spans="1:2" x14ac:dyDescent="0.45">
      <c r="A16" s="6">
        <v>15</v>
      </c>
      <c r="B16" s="5"/>
    </row>
    <row r="17" spans="1:2" x14ac:dyDescent="0.45">
      <c r="A17" s="6">
        <v>16</v>
      </c>
      <c r="B17" s="5"/>
    </row>
    <row r="18" spans="1:2" x14ac:dyDescent="0.45">
      <c r="A18" s="6">
        <v>17</v>
      </c>
      <c r="B18" s="5"/>
    </row>
    <row r="19" spans="1:2" x14ac:dyDescent="0.45">
      <c r="A19" s="6">
        <v>18</v>
      </c>
      <c r="B19" s="5"/>
    </row>
    <row r="20" spans="1:2" x14ac:dyDescent="0.45">
      <c r="A20" s="6">
        <v>19</v>
      </c>
      <c r="B20" s="5"/>
    </row>
    <row r="21" spans="1:2" x14ac:dyDescent="0.45">
      <c r="A21" s="6">
        <v>20</v>
      </c>
      <c r="B21" s="5"/>
    </row>
    <row r="22" spans="1:2" x14ac:dyDescent="0.45">
      <c r="A22" s="6">
        <v>21</v>
      </c>
      <c r="B22" s="5"/>
    </row>
    <row r="23" spans="1:2" x14ac:dyDescent="0.45">
      <c r="A23" s="6">
        <v>22</v>
      </c>
      <c r="B23" s="5"/>
    </row>
    <row r="24" spans="1:2" x14ac:dyDescent="0.45">
      <c r="A24" s="6">
        <v>23</v>
      </c>
      <c r="B24" s="5"/>
    </row>
    <row r="25" spans="1:2" x14ac:dyDescent="0.45">
      <c r="A25" s="6">
        <v>24</v>
      </c>
      <c r="B25" s="5"/>
    </row>
    <row r="26" spans="1:2" x14ac:dyDescent="0.45">
      <c r="A26" s="6">
        <v>25</v>
      </c>
      <c r="B26" s="5"/>
    </row>
    <row r="27" spans="1:2" x14ac:dyDescent="0.45">
      <c r="A27" s="6">
        <v>26</v>
      </c>
      <c r="B27" s="5"/>
    </row>
    <row r="28" spans="1:2" x14ac:dyDescent="0.45">
      <c r="A28" s="6">
        <v>27</v>
      </c>
      <c r="B28" s="5"/>
    </row>
    <row r="29" spans="1:2" x14ac:dyDescent="0.45">
      <c r="A29" s="6">
        <v>28</v>
      </c>
      <c r="B29" s="5"/>
    </row>
    <row r="30" spans="1:2" x14ac:dyDescent="0.45">
      <c r="A30" s="6">
        <v>29</v>
      </c>
      <c r="B30" s="5"/>
    </row>
    <row r="31" spans="1:2" x14ac:dyDescent="0.45">
      <c r="A31" s="6">
        <v>30</v>
      </c>
      <c r="B31" s="5"/>
    </row>
    <row r="32" spans="1:2" x14ac:dyDescent="0.45">
      <c r="A32" s="6">
        <v>31</v>
      </c>
      <c r="B32" s="5"/>
    </row>
    <row r="33" spans="1:2" x14ac:dyDescent="0.45">
      <c r="A33" s="6">
        <v>32</v>
      </c>
      <c r="B33" s="5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showGridLines="0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8" customWidth="1"/>
    <col min="2" max="2" width="12" customWidth="1"/>
    <col min="3" max="3" width="24" customWidth="1"/>
    <col min="4" max="7" width="16" customWidth="1"/>
    <col min="8" max="9" width="14" customWidth="1"/>
    <col min="10" max="11" width="16" customWidth="1"/>
  </cols>
  <sheetData>
    <row r="1" spans="1:11" ht="41.65" x14ac:dyDescent="0.45">
      <c r="A1" s="8" t="s">
        <v>47</v>
      </c>
      <c r="B1" s="8" t="s">
        <v>48</v>
      </c>
      <c r="C1" s="8" t="s">
        <v>49</v>
      </c>
      <c r="D1" s="8" t="s">
        <v>50</v>
      </c>
      <c r="E1" s="8" t="s">
        <v>51</v>
      </c>
      <c r="F1" s="8" t="s">
        <v>52</v>
      </c>
      <c r="G1" s="8" t="s">
        <v>53</v>
      </c>
      <c r="H1" s="8" t="s">
        <v>54</v>
      </c>
      <c r="I1" s="8" t="s">
        <v>55</v>
      </c>
      <c r="J1" s="8" t="s">
        <v>56</v>
      </c>
      <c r="K1" s="8" t="s">
        <v>57</v>
      </c>
    </row>
    <row r="2" spans="1:11" x14ac:dyDescent="0.45">
      <c r="A2" s="6">
        <v>1</v>
      </c>
      <c r="B2" s="5"/>
      <c r="C2" s="5" t="s">
        <v>58</v>
      </c>
      <c r="D2" s="9">
        <v>120</v>
      </c>
      <c r="E2" s="9">
        <v>25</v>
      </c>
      <c r="F2" s="9">
        <v>90</v>
      </c>
      <c r="G2" s="5">
        <v>4</v>
      </c>
      <c r="H2" s="10">
        <f>Setup!$B$4</f>
        <v>8</v>
      </c>
      <c r="I2" s="6">
        <f t="shared" ref="I2:I13" si="0">IF(OR(G2="",G2=0),0,CEILING(H2/G2,1))</f>
        <v>2</v>
      </c>
      <c r="J2" s="11">
        <f t="shared" ref="J2:J13" si="1">H2*D2+H2*E2+I2*F2</f>
        <v>1340</v>
      </c>
      <c r="K2" s="11">
        <f t="shared" ref="K2:K13" si="2">IF(H2=0,0,J2/H2)</f>
        <v>167.5</v>
      </c>
    </row>
    <row r="3" spans="1:11" x14ac:dyDescent="0.45">
      <c r="A3" s="6">
        <v>2</v>
      </c>
      <c r="B3" s="5"/>
      <c r="C3" s="5" t="s">
        <v>59</v>
      </c>
      <c r="D3" s="9">
        <v>135</v>
      </c>
      <c r="E3" s="9">
        <v>25</v>
      </c>
      <c r="F3" s="9">
        <v>90</v>
      </c>
      <c r="G3" s="5">
        <v>4</v>
      </c>
      <c r="H3" s="10">
        <f>Setup!$B$4</f>
        <v>8</v>
      </c>
      <c r="I3" s="6">
        <f t="shared" si="0"/>
        <v>2</v>
      </c>
      <c r="J3" s="11">
        <f t="shared" si="1"/>
        <v>1460</v>
      </c>
      <c r="K3" s="11">
        <f t="shared" si="2"/>
        <v>182.5</v>
      </c>
    </row>
    <row r="4" spans="1:11" x14ac:dyDescent="0.45">
      <c r="A4" s="6">
        <v>3</v>
      </c>
      <c r="B4" s="5"/>
      <c r="C4" s="5" t="s">
        <v>60</v>
      </c>
      <c r="D4" s="9">
        <v>110</v>
      </c>
      <c r="E4" s="9">
        <v>20</v>
      </c>
      <c r="F4" s="9">
        <v>0</v>
      </c>
      <c r="G4" s="5">
        <v>0</v>
      </c>
      <c r="H4" s="10">
        <f>Setup!$B$4</f>
        <v>8</v>
      </c>
      <c r="I4" s="6">
        <f t="shared" si="0"/>
        <v>0</v>
      </c>
      <c r="J4" s="11">
        <f t="shared" si="1"/>
        <v>1040</v>
      </c>
      <c r="K4" s="11">
        <f t="shared" si="2"/>
        <v>130</v>
      </c>
    </row>
    <row r="5" spans="1:11" x14ac:dyDescent="0.45">
      <c r="A5" s="6">
        <v>4</v>
      </c>
      <c r="B5" s="5"/>
      <c r="C5" s="5" t="s">
        <v>61</v>
      </c>
      <c r="D5" s="9">
        <v>150</v>
      </c>
      <c r="E5" s="9">
        <v>30</v>
      </c>
      <c r="F5" s="9">
        <v>80</v>
      </c>
      <c r="G5" s="5">
        <v>1</v>
      </c>
      <c r="H5" s="10">
        <f>Setup!$B$4</f>
        <v>8</v>
      </c>
      <c r="I5" s="6">
        <f t="shared" si="0"/>
        <v>8</v>
      </c>
      <c r="J5" s="11">
        <f t="shared" si="1"/>
        <v>2080</v>
      </c>
      <c r="K5" s="11">
        <f t="shared" si="2"/>
        <v>260</v>
      </c>
    </row>
    <row r="6" spans="1:11" x14ac:dyDescent="0.45">
      <c r="A6" s="6">
        <v>5</v>
      </c>
      <c r="B6" s="5"/>
      <c r="C6" s="5"/>
      <c r="D6" s="9"/>
      <c r="E6" s="9"/>
      <c r="F6" s="9"/>
      <c r="G6" s="5"/>
      <c r="H6" s="10">
        <f>Setup!$B$4</f>
        <v>8</v>
      </c>
      <c r="I6" s="6">
        <f t="shared" si="0"/>
        <v>0</v>
      </c>
      <c r="J6" s="11">
        <f t="shared" si="1"/>
        <v>0</v>
      </c>
      <c r="K6" s="11">
        <f t="shared" si="2"/>
        <v>0</v>
      </c>
    </row>
    <row r="7" spans="1:11" x14ac:dyDescent="0.45">
      <c r="A7" s="6">
        <v>6</v>
      </c>
      <c r="B7" s="5"/>
      <c r="C7" s="5"/>
      <c r="D7" s="9"/>
      <c r="E7" s="9"/>
      <c r="F7" s="9"/>
      <c r="G7" s="5"/>
      <c r="H7" s="10">
        <f>Setup!$B$4</f>
        <v>8</v>
      </c>
      <c r="I7" s="6">
        <f t="shared" si="0"/>
        <v>0</v>
      </c>
      <c r="J7" s="11">
        <f t="shared" si="1"/>
        <v>0</v>
      </c>
      <c r="K7" s="11">
        <f t="shared" si="2"/>
        <v>0</v>
      </c>
    </row>
    <row r="8" spans="1:11" x14ac:dyDescent="0.45">
      <c r="A8" s="6">
        <v>7</v>
      </c>
      <c r="B8" s="5"/>
      <c r="C8" s="5"/>
      <c r="D8" s="9"/>
      <c r="E8" s="9"/>
      <c r="F8" s="9"/>
      <c r="G8" s="5"/>
      <c r="H8" s="10">
        <f>Setup!$B$4</f>
        <v>8</v>
      </c>
      <c r="I8" s="6">
        <f t="shared" si="0"/>
        <v>0</v>
      </c>
      <c r="J8" s="11">
        <f t="shared" si="1"/>
        <v>0</v>
      </c>
      <c r="K8" s="11">
        <f t="shared" si="2"/>
        <v>0</v>
      </c>
    </row>
    <row r="9" spans="1:11" x14ac:dyDescent="0.45">
      <c r="A9" s="6">
        <v>8</v>
      </c>
      <c r="B9" s="5"/>
      <c r="C9" s="5"/>
      <c r="D9" s="9"/>
      <c r="E9" s="9"/>
      <c r="F9" s="9"/>
      <c r="G9" s="5"/>
      <c r="H9" s="10">
        <f>Setup!$B$4</f>
        <v>8</v>
      </c>
      <c r="I9" s="6">
        <f t="shared" si="0"/>
        <v>0</v>
      </c>
      <c r="J9" s="11">
        <f t="shared" si="1"/>
        <v>0</v>
      </c>
      <c r="K9" s="11">
        <f t="shared" si="2"/>
        <v>0</v>
      </c>
    </row>
    <row r="10" spans="1:11" x14ac:dyDescent="0.45">
      <c r="A10" s="6">
        <v>9</v>
      </c>
      <c r="B10" s="5"/>
      <c r="C10" s="5"/>
      <c r="D10" s="9"/>
      <c r="E10" s="9"/>
      <c r="F10" s="9"/>
      <c r="G10" s="5"/>
      <c r="H10" s="10">
        <f>Setup!$B$4</f>
        <v>8</v>
      </c>
      <c r="I10" s="6">
        <f t="shared" si="0"/>
        <v>0</v>
      </c>
      <c r="J10" s="11">
        <f t="shared" si="1"/>
        <v>0</v>
      </c>
      <c r="K10" s="11">
        <f t="shared" si="2"/>
        <v>0</v>
      </c>
    </row>
    <row r="11" spans="1:11" x14ac:dyDescent="0.45">
      <c r="A11" s="6">
        <v>10</v>
      </c>
      <c r="B11" s="5"/>
      <c r="C11" s="5"/>
      <c r="D11" s="9"/>
      <c r="E11" s="9"/>
      <c r="F11" s="9"/>
      <c r="G11" s="5"/>
      <c r="H11" s="10">
        <f>Setup!$B$4</f>
        <v>8</v>
      </c>
      <c r="I11" s="6">
        <f t="shared" si="0"/>
        <v>0</v>
      </c>
      <c r="J11" s="11">
        <f t="shared" si="1"/>
        <v>0</v>
      </c>
      <c r="K11" s="11">
        <f t="shared" si="2"/>
        <v>0</v>
      </c>
    </row>
    <row r="12" spans="1:11" x14ac:dyDescent="0.45">
      <c r="A12" s="6">
        <v>11</v>
      </c>
      <c r="B12" s="5"/>
      <c r="C12" s="5"/>
      <c r="D12" s="9"/>
      <c r="E12" s="9"/>
      <c r="F12" s="9"/>
      <c r="G12" s="5"/>
      <c r="H12" s="10">
        <f>Setup!$B$4</f>
        <v>8</v>
      </c>
      <c r="I12" s="6">
        <f t="shared" si="0"/>
        <v>0</v>
      </c>
      <c r="J12" s="11">
        <f t="shared" si="1"/>
        <v>0</v>
      </c>
      <c r="K12" s="11">
        <f t="shared" si="2"/>
        <v>0</v>
      </c>
    </row>
    <row r="13" spans="1:11" x14ac:dyDescent="0.45">
      <c r="A13" s="6">
        <v>12</v>
      </c>
      <c r="B13" s="5"/>
      <c r="C13" s="5"/>
      <c r="D13" s="9"/>
      <c r="E13" s="9"/>
      <c r="F13" s="9"/>
      <c r="G13" s="5"/>
      <c r="H13" s="10">
        <f>Setup!$B$4</f>
        <v>8</v>
      </c>
      <c r="I13" s="6">
        <f t="shared" si="0"/>
        <v>0</v>
      </c>
      <c r="J13" s="11">
        <f t="shared" si="1"/>
        <v>0</v>
      </c>
      <c r="K13" s="11">
        <f t="shared" si="2"/>
        <v>0</v>
      </c>
    </row>
    <row r="15" spans="1:11" x14ac:dyDescent="0.45">
      <c r="A15" s="12" t="s">
        <v>62</v>
      </c>
      <c r="J15" s="13">
        <f>SUM(J2:J13)</f>
        <v>5920</v>
      </c>
      <c r="K15" s="13">
        <f>SUM(K2:K13)</f>
        <v>740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"/>
  <sheetViews>
    <sheetView showGridLines="0" workbookViewId="0">
      <pane xSplit="1" ySplit="19" topLeftCell="B20" activePane="bottomRight" state="frozen"/>
      <selection pane="topRight"/>
      <selection pane="bottomLeft"/>
      <selection pane="bottomRight"/>
    </sheetView>
  </sheetViews>
  <sheetFormatPr defaultRowHeight="14.25" x14ac:dyDescent="0.45"/>
  <cols>
    <col min="1" max="2" width="26" customWidth="1"/>
    <col min="3" max="13" width="14" customWidth="1"/>
  </cols>
  <sheetData>
    <row r="1" spans="1:14" x14ac:dyDescent="0.45">
      <c r="A1" s="8" t="s">
        <v>63</v>
      </c>
      <c r="B1" s="8" t="s">
        <v>64</v>
      </c>
      <c r="C1" s="8" t="s">
        <v>65</v>
      </c>
      <c r="D1" s="8" t="s">
        <v>66</v>
      </c>
      <c r="E1" s="8" t="s">
        <v>67</v>
      </c>
    </row>
    <row r="2" spans="1:14" x14ac:dyDescent="0.45">
      <c r="A2" s="6">
        <v>1</v>
      </c>
      <c r="B2" s="5" t="s">
        <v>68</v>
      </c>
      <c r="C2" s="5" t="s">
        <v>69</v>
      </c>
      <c r="D2" s="9">
        <v>6400</v>
      </c>
      <c r="E2" s="5" t="s">
        <v>70</v>
      </c>
    </row>
    <row r="3" spans="1:14" x14ac:dyDescent="0.45">
      <c r="A3" s="6">
        <v>2</v>
      </c>
      <c r="B3" s="5" t="s">
        <v>71</v>
      </c>
      <c r="C3" s="5" t="s">
        <v>72</v>
      </c>
      <c r="D3" s="9">
        <v>480</v>
      </c>
      <c r="E3" s="5" t="s">
        <v>73</v>
      </c>
    </row>
    <row r="4" spans="1:14" x14ac:dyDescent="0.45">
      <c r="A4" s="6">
        <v>3</v>
      </c>
      <c r="B4" s="5"/>
      <c r="C4" s="5"/>
      <c r="D4" s="9"/>
      <c r="E4" s="5"/>
    </row>
    <row r="5" spans="1:14" x14ac:dyDescent="0.45">
      <c r="A5" s="6">
        <v>4</v>
      </c>
      <c r="B5" s="5"/>
      <c r="C5" s="5"/>
      <c r="D5" s="9"/>
      <c r="E5" s="5"/>
    </row>
    <row r="6" spans="1:14" x14ac:dyDescent="0.45">
      <c r="A6" s="6">
        <v>5</v>
      </c>
      <c r="B6" s="5"/>
      <c r="C6" s="5"/>
      <c r="D6" s="9"/>
      <c r="E6" s="5"/>
    </row>
    <row r="7" spans="1:14" x14ac:dyDescent="0.45">
      <c r="A7" s="6">
        <v>6</v>
      </c>
      <c r="B7" s="5"/>
      <c r="C7" s="5"/>
      <c r="D7" s="9"/>
      <c r="E7" s="5"/>
    </row>
    <row r="8" spans="1:14" x14ac:dyDescent="0.45">
      <c r="A8" s="6">
        <v>7</v>
      </c>
      <c r="B8" s="5"/>
      <c r="C8" s="5"/>
      <c r="D8" s="9"/>
      <c r="E8" s="5"/>
    </row>
    <row r="9" spans="1:14" x14ac:dyDescent="0.45">
      <c r="A9" s="6">
        <v>8</v>
      </c>
      <c r="B9" s="5"/>
      <c r="C9" s="5"/>
      <c r="D9" s="9"/>
      <c r="E9" s="5"/>
    </row>
    <row r="10" spans="1:14" x14ac:dyDescent="0.45">
      <c r="A10" s="6">
        <v>9</v>
      </c>
      <c r="B10" s="5"/>
      <c r="C10" s="5"/>
      <c r="D10" s="9"/>
      <c r="E10" s="5"/>
    </row>
    <row r="11" spans="1:14" x14ac:dyDescent="0.45">
      <c r="A11" s="6">
        <v>10</v>
      </c>
      <c r="B11" s="5"/>
      <c r="C11" s="5"/>
      <c r="D11" s="9"/>
      <c r="E11" s="5"/>
    </row>
    <row r="12" spans="1:14" x14ac:dyDescent="0.45">
      <c r="A12" s="6">
        <v>11</v>
      </c>
      <c r="B12" s="5"/>
      <c r="C12" s="5"/>
      <c r="D12" s="9"/>
      <c r="E12" s="5"/>
    </row>
    <row r="13" spans="1:14" x14ac:dyDescent="0.45">
      <c r="A13" s="6">
        <v>12</v>
      </c>
      <c r="B13" s="5"/>
      <c r="C13" s="5"/>
      <c r="D13" s="9"/>
      <c r="E13" s="5"/>
    </row>
    <row r="15" spans="1:14" ht="55.9" x14ac:dyDescent="0.45">
      <c r="A15" s="14" t="s">
        <v>74</v>
      </c>
      <c r="B15" s="15" t="str">
        <f>B2</f>
        <v>Return airfares (group)</v>
      </c>
      <c r="C15" s="15" t="str">
        <f>B3</f>
        <v>Airport transfer coach</v>
      </c>
      <c r="D15" s="15">
        <f>B4</f>
        <v>0</v>
      </c>
      <c r="E15" s="15">
        <f>B5</f>
        <v>0</v>
      </c>
      <c r="F15" s="15">
        <f>B6</f>
        <v>0</v>
      </c>
      <c r="G15" s="15">
        <f>B7</f>
        <v>0</v>
      </c>
      <c r="H15" s="15">
        <f>B8</f>
        <v>0</v>
      </c>
      <c r="I15" s="15">
        <f>B9</f>
        <v>0</v>
      </c>
      <c r="J15" s="15">
        <f>B10</f>
        <v>0</v>
      </c>
      <c r="K15" s="15">
        <f>B11</f>
        <v>0</v>
      </c>
      <c r="L15" s="15">
        <f>B12</f>
        <v>0</v>
      </c>
      <c r="M15" s="15">
        <f>B13</f>
        <v>0</v>
      </c>
      <c r="N15" s="15" t="s">
        <v>75</v>
      </c>
    </row>
    <row r="16" spans="1:14" x14ac:dyDescent="0.45">
      <c r="A16" s="4" t="s">
        <v>67</v>
      </c>
      <c r="B16" s="6" t="str">
        <f>E2</f>
        <v>Direct Entry</v>
      </c>
      <c r="C16" s="6" t="str">
        <f>E3</f>
        <v>Equal Split</v>
      </c>
      <c r="D16" s="6">
        <f>E4</f>
        <v>0</v>
      </c>
      <c r="E16" s="6">
        <f>E5</f>
        <v>0</v>
      </c>
      <c r="F16" s="6">
        <f>E6</f>
        <v>0</v>
      </c>
      <c r="G16" s="6">
        <f>E7</f>
        <v>0</v>
      </c>
      <c r="H16" s="6">
        <f>E8</f>
        <v>0</v>
      </c>
      <c r="I16" s="6">
        <f>E9</f>
        <v>0</v>
      </c>
      <c r="J16" s="6">
        <f>E10</f>
        <v>0</v>
      </c>
      <c r="K16" s="6">
        <f>E11</f>
        <v>0</v>
      </c>
      <c r="L16" s="6">
        <f>E12</f>
        <v>0</v>
      </c>
      <c r="M16" s="6">
        <f>E13</f>
        <v>0</v>
      </c>
    </row>
    <row r="17" spans="1:14" x14ac:dyDescent="0.45">
      <c r="A17" s="4" t="s">
        <v>66</v>
      </c>
      <c r="B17" s="11">
        <f>D2</f>
        <v>6400</v>
      </c>
      <c r="C17" s="11">
        <f>D3</f>
        <v>480</v>
      </c>
      <c r="D17" s="11">
        <f>D4</f>
        <v>0</v>
      </c>
      <c r="E17" s="11">
        <f>D5</f>
        <v>0</v>
      </c>
      <c r="F17" s="11">
        <f>D6</f>
        <v>0</v>
      </c>
      <c r="G17" s="11">
        <f>D7</f>
        <v>0</v>
      </c>
      <c r="H17" s="11">
        <f>D8</f>
        <v>0</v>
      </c>
      <c r="I17" s="11">
        <f>D9</f>
        <v>0</v>
      </c>
      <c r="J17" s="11">
        <f>D10</f>
        <v>0</v>
      </c>
      <c r="K17" s="11">
        <f>D11</f>
        <v>0</v>
      </c>
      <c r="L17" s="11">
        <f>D12</f>
        <v>0</v>
      </c>
      <c r="M17" s="11">
        <f>D13</f>
        <v>0</v>
      </c>
    </row>
    <row r="18" spans="1:14" x14ac:dyDescent="0.45">
      <c r="A18" s="4" t="s">
        <v>76</v>
      </c>
      <c r="B18" s="6">
        <f>IF(E2="Equal Split",COUNTIF(B20:B51,1),0)</f>
        <v>0</v>
      </c>
      <c r="C18" s="6">
        <f>IF(E3="Equal Split",COUNTIF(C20:C51,1),0)</f>
        <v>0</v>
      </c>
      <c r="D18" s="6">
        <f>IF(E4="Equal Split",COUNTIF(D20:D51,1),0)</f>
        <v>0</v>
      </c>
      <c r="E18" s="6">
        <f>IF(E5="Equal Split",COUNTIF(E20:E51,1),0)</f>
        <v>0</v>
      </c>
      <c r="F18" s="6">
        <f>IF(E6="Equal Split",COUNTIF(F20:F51,1),0)</f>
        <v>0</v>
      </c>
      <c r="G18" s="6">
        <f>IF(E7="Equal Split",COUNTIF(G20:G51,1),0)</f>
        <v>0</v>
      </c>
      <c r="H18" s="6">
        <f>IF(E8="Equal Split",COUNTIF(H20:H51,1),0)</f>
        <v>0</v>
      </c>
      <c r="I18" s="6">
        <f>IF(E9="Equal Split",COUNTIF(I20:I51,1),0)</f>
        <v>0</v>
      </c>
      <c r="J18" s="6">
        <f>IF(E10="Equal Split",COUNTIF(J20:J51,1),0)</f>
        <v>0</v>
      </c>
      <c r="K18" s="6">
        <f>IF(E11="Equal Split",COUNTIF(K20:K51,1),0)</f>
        <v>0</v>
      </c>
      <c r="L18" s="6">
        <f>IF(E12="Equal Split",COUNTIF(L20:L51,1),0)</f>
        <v>0</v>
      </c>
      <c r="M18" s="6">
        <f>IF(E13="Equal Split",COUNTIF(M20:M51,1),0)</f>
        <v>0</v>
      </c>
    </row>
    <row r="19" spans="1:14" x14ac:dyDescent="0.45">
      <c r="A19" s="4" t="s">
        <v>77</v>
      </c>
      <c r="B19" s="11">
        <f>IF(E2="Equal Split",IF(B18=0,0,D2/B18),0)</f>
        <v>0</v>
      </c>
      <c r="C19" s="11">
        <f>IF(E3="Equal Split",IF(C18=0,0,D3/C18),0)</f>
        <v>0</v>
      </c>
      <c r="D19" s="11">
        <f>IF(E4="Equal Split",IF(D18=0,0,D4/D18),0)</f>
        <v>0</v>
      </c>
      <c r="E19" s="11">
        <f>IF(E5="Equal Split",IF(E18=0,0,D5/E18),0)</f>
        <v>0</v>
      </c>
      <c r="F19" s="11">
        <f>IF(E6="Equal Split",IF(F18=0,0,D6/F18),0)</f>
        <v>0</v>
      </c>
      <c r="G19" s="11">
        <f>IF(E7="Equal Split",IF(G18=0,0,D7/G18),0)</f>
        <v>0</v>
      </c>
      <c r="H19" s="11">
        <f>IF(E8="Equal Split",IF(H18=0,0,D8/H18),0)</f>
        <v>0</v>
      </c>
      <c r="I19" s="11">
        <f>IF(E9="Equal Split",IF(I18=0,0,D9/I18),0)</f>
        <v>0</v>
      </c>
      <c r="J19" s="11">
        <f>IF(E10="Equal Split",IF(J18=0,0,D10/J18),0)</f>
        <v>0</v>
      </c>
      <c r="K19" s="11">
        <f>IF(E11="Equal Split",IF(K18=0,0,D11/K18),0)</f>
        <v>0</v>
      </c>
      <c r="L19" s="11">
        <f>IF(E12="Equal Split",IF(L18=0,0,D12/L18),0)</f>
        <v>0</v>
      </c>
      <c r="M19" s="11">
        <f>IF(E13="Equal Split",IF(M18=0,0,D13/M18),0)</f>
        <v>0</v>
      </c>
    </row>
    <row r="20" spans="1:14" x14ac:dyDescent="0.45">
      <c r="A20" s="10" t="str">
        <f>Players!B2</f>
        <v>Alex Thompson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1">
        <f t="shared" ref="N20:N51" si="0">SUMPRODUCT((B$16:M$16="Direct Entry")*B20:M20)+SUMPRODUCT((B$16:M$16="Equal Split")*B20:M20*B$19:M$19)</f>
        <v>0</v>
      </c>
    </row>
    <row r="21" spans="1:14" x14ac:dyDescent="0.45">
      <c r="A21" s="10" t="str">
        <f>Players!B3</f>
        <v>Ben Carter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1">
        <f t="shared" si="0"/>
        <v>0</v>
      </c>
    </row>
    <row r="22" spans="1:14" x14ac:dyDescent="0.45">
      <c r="A22" s="10" t="str">
        <f>Players!B4</f>
        <v>Chris Nguyen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1">
        <f t="shared" si="0"/>
        <v>0</v>
      </c>
    </row>
    <row r="23" spans="1:14" x14ac:dyDescent="0.45">
      <c r="A23" s="10" t="str">
        <f>Players!B5</f>
        <v>Dave Patel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1">
        <f t="shared" si="0"/>
        <v>0</v>
      </c>
    </row>
    <row r="24" spans="1:14" x14ac:dyDescent="0.45">
      <c r="A24" s="10" t="str">
        <f>Players!B6</f>
        <v>Ethan Wright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1">
        <f t="shared" si="0"/>
        <v>0</v>
      </c>
    </row>
    <row r="25" spans="1:14" x14ac:dyDescent="0.45">
      <c r="A25" s="10" t="str">
        <f>Players!B7</f>
        <v>Frank Lopez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1">
        <f t="shared" si="0"/>
        <v>0</v>
      </c>
    </row>
    <row r="26" spans="1:14" x14ac:dyDescent="0.45">
      <c r="A26" s="10" t="str">
        <f>Players!B8</f>
        <v>George Kim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1">
        <f t="shared" si="0"/>
        <v>0</v>
      </c>
    </row>
    <row r="27" spans="1:14" x14ac:dyDescent="0.45">
      <c r="A27" s="10" t="str">
        <f>Players!B9</f>
        <v>Harry Singh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1">
        <f t="shared" si="0"/>
        <v>0</v>
      </c>
    </row>
    <row r="28" spans="1:14" x14ac:dyDescent="0.45">
      <c r="A28" s="10">
        <f>Players!B10</f>
        <v>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1">
        <f t="shared" si="0"/>
        <v>0</v>
      </c>
    </row>
    <row r="29" spans="1:14" x14ac:dyDescent="0.45">
      <c r="A29" s="10">
        <f>Players!B11</f>
        <v>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1">
        <f t="shared" si="0"/>
        <v>0</v>
      </c>
    </row>
    <row r="30" spans="1:14" x14ac:dyDescent="0.45">
      <c r="A30" s="10">
        <f>Players!B12</f>
        <v>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1">
        <f t="shared" si="0"/>
        <v>0</v>
      </c>
    </row>
    <row r="31" spans="1:14" x14ac:dyDescent="0.45">
      <c r="A31" s="10">
        <f>Players!B13</f>
        <v>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1">
        <f t="shared" si="0"/>
        <v>0</v>
      </c>
    </row>
    <row r="32" spans="1:14" x14ac:dyDescent="0.45">
      <c r="A32" s="10">
        <f>Players!B14</f>
        <v>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1">
        <f t="shared" si="0"/>
        <v>0</v>
      </c>
    </row>
    <row r="33" spans="1:14" x14ac:dyDescent="0.45">
      <c r="A33" s="10">
        <f>Players!B15</f>
        <v>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1">
        <f t="shared" si="0"/>
        <v>0</v>
      </c>
    </row>
    <row r="34" spans="1:14" x14ac:dyDescent="0.45">
      <c r="A34" s="10">
        <f>Players!B16</f>
        <v>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1">
        <f t="shared" si="0"/>
        <v>0</v>
      </c>
    </row>
    <row r="35" spans="1:14" x14ac:dyDescent="0.45">
      <c r="A35" s="10">
        <f>Players!B17</f>
        <v>0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1">
        <f t="shared" si="0"/>
        <v>0</v>
      </c>
    </row>
    <row r="36" spans="1:14" x14ac:dyDescent="0.45">
      <c r="A36" s="10">
        <f>Players!B18</f>
        <v>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1">
        <f t="shared" si="0"/>
        <v>0</v>
      </c>
    </row>
    <row r="37" spans="1:14" x14ac:dyDescent="0.45">
      <c r="A37" s="10">
        <f>Players!B19</f>
        <v>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1">
        <f t="shared" si="0"/>
        <v>0</v>
      </c>
    </row>
    <row r="38" spans="1:14" x14ac:dyDescent="0.45">
      <c r="A38" s="10">
        <f>Players!B20</f>
        <v>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1">
        <f t="shared" si="0"/>
        <v>0</v>
      </c>
    </row>
    <row r="39" spans="1:14" x14ac:dyDescent="0.45">
      <c r="A39" s="10">
        <f>Players!B21</f>
        <v>0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1">
        <f t="shared" si="0"/>
        <v>0</v>
      </c>
    </row>
    <row r="40" spans="1:14" x14ac:dyDescent="0.45">
      <c r="A40" s="10">
        <f>Players!B22</f>
        <v>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1">
        <f t="shared" si="0"/>
        <v>0</v>
      </c>
    </row>
    <row r="41" spans="1:14" x14ac:dyDescent="0.45">
      <c r="A41" s="10">
        <f>Players!B23</f>
        <v>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1">
        <f t="shared" si="0"/>
        <v>0</v>
      </c>
    </row>
    <row r="42" spans="1:14" x14ac:dyDescent="0.45">
      <c r="A42" s="10">
        <f>Players!B24</f>
        <v>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1">
        <f t="shared" si="0"/>
        <v>0</v>
      </c>
    </row>
    <row r="43" spans="1:14" x14ac:dyDescent="0.45">
      <c r="A43" s="10">
        <f>Players!B25</f>
        <v>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1">
        <f t="shared" si="0"/>
        <v>0</v>
      </c>
    </row>
    <row r="44" spans="1:14" x14ac:dyDescent="0.45">
      <c r="A44" s="10">
        <f>Players!B26</f>
        <v>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1">
        <f t="shared" si="0"/>
        <v>0</v>
      </c>
    </row>
    <row r="45" spans="1:14" x14ac:dyDescent="0.45">
      <c r="A45" s="10">
        <f>Players!B27</f>
        <v>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1">
        <f t="shared" si="0"/>
        <v>0</v>
      </c>
    </row>
    <row r="46" spans="1:14" x14ac:dyDescent="0.45">
      <c r="A46" s="10">
        <f>Players!B28</f>
        <v>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1">
        <f t="shared" si="0"/>
        <v>0</v>
      </c>
    </row>
    <row r="47" spans="1:14" x14ac:dyDescent="0.45">
      <c r="A47" s="10">
        <f>Players!B29</f>
        <v>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1">
        <f t="shared" si="0"/>
        <v>0</v>
      </c>
    </row>
    <row r="48" spans="1:14" x14ac:dyDescent="0.45">
      <c r="A48" s="10">
        <f>Players!B30</f>
        <v>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1">
        <f t="shared" si="0"/>
        <v>0</v>
      </c>
    </row>
    <row r="49" spans="1:14" x14ac:dyDescent="0.45">
      <c r="A49" s="10">
        <f>Players!B31</f>
        <v>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1">
        <f t="shared" si="0"/>
        <v>0</v>
      </c>
    </row>
    <row r="50" spans="1:14" x14ac:dyDescent="0.45">
      <c r="A50" s="10">
        <f>Players!B32</f>
        <v>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1">
        <f t="shared" si="0"/>
        <v>0</v>
      </c>
    </row>
    <row r="51" spans="1:14" x14ac:dyDescent="0.45">
      <c r="A51" s="10">
        <f>Players!B33</f>
        <v>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1">
        <f t="shared" si="0"/>
        <v>0</v>
      </c>
    </row>
  </sheetData>
  <dataValidations count="2">
    <dataValidation type="list" allowBlank="1" sqref="C2 C3 C4 C5 C6 C7 C8 C9 C10 C11 C12 C13" xr:uid="{00000000-0002-0000-0400-000000000000}">
      <formula1>"Airfare,Train,Taxi,Driver,Other"</formula1>
    </dataValidation>
    <dataValidation type="list" allowBlank="1" sqref="E2 E3 E4 E5 E6 E7 E8 E9 E10 E11 E12 E13" xr:uid="{00000000-0002-0000-0400-000001000000}">
      <formula1>"Equal Split,Direct Entry"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58"/>
  <sheetViews>
    <sheetView showGridLines="0" workbookViewId="0">
      <pane xSplit="1" ySplit="26" topLeftCell="B27" activePane="bottomRight" state="frozen"/>
      <selection pane="topRight"/>
      <selection pane="bottomLeft"/>
      <selection pane="bottomRight"/>
    </sheetView>
  </sheetViews>
  <sheetFormatPr defaultRowHeight="14.25" outlineLevelRow="1" x14ac:dyDescent="0.45"/>
  <cols>
    <col min="1" max="1" width="26" customWidth="1"/>
    <col min="2" max="2" width="30" customWidth="1"/>
    <col min="3" max="4" width="18" customWidth="1"/>
    <col min="6" max="6" width="55" customWidth="1"/>
  </cols>
  <sheetData>
    <row r="1" spans="1:6" ht="55.9" x14ac:dyDescent="0.45">
      <c r="A1" s="8" t="s">
        <v>78</v>
      </c>
      <c r="B1" s="8" t="s">
        <v>79</v>
      </c>
      <c r="C1" s="8" t="s">
        <v>80</v>
      </c>
      <c r="D1" s="8" t="s">
        <v>81</v>
      </c>
      <c r="F1" s="17" t="s">
        <v>82</v>
      </c>
    </row>
    <row r="2" spans="1:6" outlineLevel="1" x14ac:dyDescent="0.45">
      <c r="A2" s="6">
        <v>1</v>
      </c>
      <c r="B2" s="5" t="s">
        <v>83</v>
      </c>
      <c r="C2" s="9">
        <v>180</v>
      </c>
      <c r="D2" s="9">
        <v>250</v>
      </c>
    </row>
    <row r="3" spans="1:6" hidden="1" outlineLevel="1" x14ac:dyDescent="0.45">
      <c r="A3" s="6">
        <v>2</v>
      </c>
      <c r="B3" s="5" t="s">
        <v>84</v>
      </c>
      <c r="C3" s="9">
        <v>220</v>
      </c>
      <c r="D3" s="9">
        <v>300</v>
      </c>
    </row>
    <row r="4" spans="1:6" hidden="1" outlineLevel="1" x14ac:dyDescent="0.45">
      <c r="A4" s="6">
        <v>3</v>
      </c>
      <c r="B4" s="5" t="s">
        <v>85</v>
      </c>
      <c r="C4" s="9">
        <v>220</v>
      </c>
      <c r="D4" s="9">
        <v>300</v>
      </c>
    </row>
    <row r="5" spans="1:6" hidden="1" outlineLevel="1" x14ac:dyDescent="0.45">
      <c r="A5" s="6">
        <v>4</v>
      </c>
      <c r="B5" s="5" t="s">
        <v>86</v>
      </c>
      <c r="C5" s="9">
        <v>220</v>
      </c>
      <c r="D5" s="9">
        <v>300</v>
      </c>
    </row>
    <row r="6" spans="1:6" hidden="1" outlineLevel="1" x14ac:dyDescent="0.45">
      <c r="A6" s="6">
        <v>5</v>
      </c>
      <c r="B6" s="5" t="s">
        <v>87</v>
      </c>
      <c r="C6" s="9">
        <v>180</v>
      </c>
      <c r="D6" s="9">
        <v>250</v>
      </c>
    </row>
    <row r="7" spans="1:6" hidden="1" outlineLevel="1" x14ac:dyDescent="0.45">
      <c r="A7" s="6">
        <v>6</v>
      </c>
      <c r="B7" s="5"/>
      <c r="C7" s="9"/>
      <c r="D7" s="9"/>
    </row>
    <row r="8" spans="1:6" hidden="1" outlineLevel="1" x14ac:dyDescent="0.45">
      <c r="A8" s="6">
        <v>7</v>
      </c>
      <c r="B8" s="5"/>
      <c r="C8" s="9"/>
      <c r="D8" s="9"/>
    </row>
    <row r="9" spans="1:6" hidden="1" outlineLevel="1" x14ac:dyDescent="0.45">
      <c r="A9" s="6">
        <v>8</v>
      </c>
      <c r="B9" s="5"/>
      <c r="C9" s="9"/>
      <c r="D9" s="9"/>
    </row>
    <row r="10" spans="1:6" hidden="1" outlineLevel="1" x14ac:dyDescent="0.45">
      <c r="A10" s="6">
        <v>9</v>
      </c>
      <c r="B10" s="5"/>
      <c r="C10" s="9"/>
      <c r="D10" s="9"/>
    </row>
    <row r="11" spans="1:6" hidden="1" outlineLevel="1" x14ac:dyDescent="0.45">
      <c r="A11" s="6">
        <v>10</v>
      </c>
      <c r="B11" s="5"/>
      <c r="C11" s="9"/>
      <c r="D11" s="9"/>
    </row>
    <row r="12" spans="1:6" hidden="1" outlineLevel="1" x14ac:dyDescent="0.45">
      <c r="A12" s="6">
        <v>11</v>
      </c>
      <c r="B12" s="5"/>
      <c r="C12" s="9"/>
      <c r="D12" s="9"/>
    </row>
    <row r="13" spans="1:6" hidden="1" outlineLevel="1" x14ac:dyDescent="0.45">
      <c r="A13" s="6">
        <v>12</v>
      </c>
      <c r="B13" s="5"/>
      <c r="C13" s="9"/>
      <c r="D13" s="9"/>
    </row>
    <row r="14" spans="1:6" hidden="1" outlineLevel="1" x14ac:dyDescent="0.45">
      <c r="A14" s="6">
        <v>13</v>
      </c>
      <c r="B14" s="5"/>
      <c r="C14" s="9"/>
      <c r="D14" s="9"/>
    </row>
    <row r="15" spans="1:6" hidden="1" outlineLevel="1" x14ac:dyDescent="0.45">
      <c r="A15" s="6">
        <v>14</v>
      </c>
      <c r="B15" s="5"/>
      <c r="C15" s="9"/>
      <c r="D15" s="9"/>
    </row>
    <row r="16" spans="1:6" hidden="1" outlineLevel="1" x14ac:dyDescent="0.45">
      <c r="A16" s="6">
        <v>15</v>
      </c>
      <c r="B16" s="5"/>
      <c r="C16" s="9"/>
      <c r="D16" s="9"/>
    </row>
    <row r="17" spans="1:22" hidden="1" outlineLevel="1" x14ac:dyDescent="0.45">
      <c r="A17" s="6">
        <v>16</v>
      </c>
      <c r="B17" s="5"/>
      <c r="C17" s="9"/>
      <c r="D17" s="9"/>
    </row>
    <row r="18" spans="1:22" hidden="1" outlineLevel="1" x14ac:dyDescent="0.45">
      <c r="A18" s="6">
        <v>17</v>
      </c>
      <c r="B18" s="5"/>
      <c r="C18" s="9"/>
      <c r="D18" s="9"/>
    </row>
    <row r="19" spans="1:22" hidden="1" outlineLevel="1" x14ac:dyDescent="0.45">
      <c r="A19" s="6">
        <v>18</v>
      </c>
      <c r="B19" s="5"/>
      <c r="C19" s="9"/>
      <c r="D19" s="9"/>
    </row>
    <row r="20" spans="1:22" hidden="1" outlineLevel="1" x14ac:dyDescent="0.45">
      <c r="A20" s="6">
        <v>19</v>
      </c>
      <c r="B20" s="5"/>
      <c r="C20" s="9"/>
      <c r="D20" s="9"/>
    </row>
    <row r="21" spans="1:22" hidden="1" outlineLevel="1" x14ac:dyDescent="0.45">
      <c r="A21" s="6">
        <v>20</v>
      </c>
      <c r="B21" s="5"/>
      <c r="C21" s="9"/>
      <c r="D21" s="9"/>
    </row>
    <row r="23" spans="1:22" ht="55.9" x14ac:dyDescent="0.45">
      <c r="A23" s="14" t="s">
        <v>74</v>
      </c>
      <c r="B23" s="15" t="str">
        <f>B2</f>
        <v>Night 1 - Arrival hotel (pre-tour)</v>
      </c>
      <c r="C23" s="15" t="str">
        <f>B3</f>
        <v>Night 2 - Main resort</v>
      </c>
      <c r="D23" s="15" t="str">
        <f>B4</f>
        <v>Night 3 - Main resort</v>
      </c>
      <c r="E23" s="15" t="str">
        <f>B5</f>
        <v>Night 4 - Main resort</v>
      </c>
      <c r="F23" s="15" t="str">
        <f>B6</f>
        <v>Night 5 - Departure hotel (post-tour)</v>
      </c>
      <c r="G23" s="15">
        <f>B7</f>
        <v>0</v>
      </c>
      <c r="H23" s="15">
        <f>B8</f>
        <v>0</v>
      </c>
      <c r="I23" s="15">
        <f>B9</f>
        <v>0</v>
      </c>
      <c r="J23" s="15">
        <f>B10</f>
        <v>0</v>
      </c>
      <c r="K23" s="15">
        <f>B11</f>
        <v>0</v>
      </c>
      <c r="L23" s="15">
        <f>B12</f>
        <v>0</v>
      </c>
      <c r="M23" s="15">
        <f>B13</f>
        <v>0</v>
      </c>
      <c r="N23" s="15">
        <f>B14</f>
        <v>0</v>
      </c>
      <c r="O23" s="15">
        <f>B15</f>
        <v>0</v>
      </c>
      <c r="P23" s="15">
        <f>B16</f>
        <v>0</v>
      </c>
      <c r="Q23" s="15">
        <f>B17</f>
        <v>0</v>
      </c>
      <c r="R23" s="15">
        <f>B18</f>
        <v>0</v>
      </c>
      <c r="S23" s="15">
        <f>B19</f>
        <v>0</v>
      </c>
      <c r="T23" s="15">
        <f>B20</f>
        <v>0</v>
      </c>
      <c r="U23" s="15">
        <f>B21</f>
        <v>0</v>
      </c>
      <c r="V23" s="15" t="s">
        <v>88</v>
      </c>
    </row>
    <row r="24" spans="1:22" x14ac:dyDescent="0.45">
      <c r="A24" s="4" t="s">
        <v>89</v>
      </c>
      <c r="B24" s="11">
        <f>C2</f>
        <v>180</v>
      </c>
      <c r="C24" s="11">
        <f>C3</f>
        <v>220</v>
      </c>
      <c r="D24" s="11">
        <f>C4</f>
        <v>220</v>
      </c>
      <c r="E24" s="11">
        <f>C5</f>
        <v>220</v>
      </c>
      <c r="F24" s="11">
        <f>C6</f>
        <v>180</v>
      </c>
      <c r="G24" s="11">
        <f>C7</f>
        <v>0</v>
      </c>
      <c r="H24" s="11">
        <f>C8</f>
        <v>0</v>
      </c>
      <c r="I24" s="11">
        <f>C9</f>
        <v>0</v>
      </c>
      <c r="J24" s="11">
        <f>C10</f>
        <v>0</v>
      </c>
      <c r="K24" s="11">
        <f>C11</f>
        <v>0</v>
      </c>
      <c r="L24" s="11">
        <f>C12</f>
        <v>0</v>
      </c>
      <c r="M24" s="11">
        <f>C13</f>
        <v>0</v>
      </c>
      <c r="N24" s="11">
        <f>C14</f>
        <v>0</v>
      </c>
      <c r="O24" s="11">
        <f>C15</f>
        <v>0</v>
      </c>
      <c r="P24" s="11">
        <f>C16</f>
        <v>0</v>
      </c>
      <c r="Q24" s="11">
        <f>C17</f>
        <v>0</v>
      </c>
      <c r="R24" s="11">
        <f>C18</f>
        <v>0</v>
      </c>
      <c r="S24" s="11">
        <f>C19</f>
        <v>0</v>
      </c>
      <c r="T24" s="11">
        <f>C20</f>
        <v>0</v>
      </c>
      <c r="U24" s="11">
        <f>C21</f>
        <v>0</v>
      </c>
    </row>
    <row r="25" spans="1:22" x14ac:dyDescent="0.45">
      <c r="A25" s="4" t="s">
        <v>90</v>
      </c>
      <c r="B25" s="11">
        <f>D2</f>
        <v>250</v>
      </c>
      <c r="C25" s="11">
        <f>D3</f>
        <v>300</v>
      </c>
      <c r="D25" s="11">
        <f>D4</f>
        <v>300</v>
      </c>
      <c r="E25" s="11">
        <f>D5</f>
        <v>300</v>
      </c>
      <c r="F25" s="11">
        <f>D6</f>
        <v>250</v>
      </c>
      <c r="G25" s="11">
        <f>D7</f>
        <v>0</v>
      </c>
      <c r="H25" s="11">
        <f>D8</f>
        <v>0</v>
      </c>
      <c r="I25" s="11">
        <f>D9</f>
        <v>0</v>
      </c>
      <c r="J25" s="11">
        <f>D10</f>
        <v>0</v>
      </c>
      <c r="K25" s="11">
        <f>D11</f>
        <v>0</v>
      </c>
      <c r="L25" s="11">
        <f>D12</f>
        <v>0</v>
      </c>
      <c r="M25" s="11">
        <f>D13</f>
        <v>0</v>
      </c>
      <c r="N25" s="11">
        <f>D14</f>
        <v>0</v>
      </c>
      <c r="O25" s="11">
        <f>D15</f>
        <v>0</v>
      </c>
      <c r="P25" s="11">
        <f>D16</f>
        <v>0</v>
      </c>
      <c r="Q25" s="11">
        <f>D17</f>
        <v>0</v>
      </c>
      <c r="R25" s="11">
        <f>D18</f>
        <v>0</v>
      </c>
      <c r="S25" s="11">
        <f>D19</f>
        <v>0</v>
      </c>
      <c r="T25" s="11">
        <f>D20</f>
        <v>0</v>
      </c>
      <c r="U25" s="11">
        <f>D21</f>
        <v>0</v>
      </c>
    </row>
    <row r="27" spans="1:22" x14ac:dyDescent="0.45">
      <c r="A27" s="10" t="str">
        <f>Players!B2</f>
        <v>Alex Thompson</v>
      </c>
      <c r="B27" s="5" t="s">
        <v>91</v>
      </c>
      <c r="C27" s="5" t="s">
        <v>91</v>
      </c>
      <c r="D27" s="5" t="s">
        <v>91</v>
      </c>
      <c r="E27" s="5" t="s">
        <v>91</v>
      </c>
      <c r="F27" s="5" t="s">
        <v>91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11">
        <f t="shared" ref="V27:V58" si="0">SUMPRODUCT((B27:U27="Shared")*B$24:U$24)+SUMPRODUCT((B27:U27="Single")*B$25:U$25)</f>
        <v>1400</v>
      </c>
    </row>
    <row r="28" spans="1:22" x14ac:dyDescent="0.45">
      <c r="A28" s="10" t="str">
        <f>Players!B3</f>
        <v>Ben Carter</v>
      </c>
      <c r="B28" s="5" t="s">
        <v>92</v>
      </c>
      <c r="C28" s="5" t="s">
        <v>92</v>
      </c>
      <c r="D28" s="5" t="s">
        <v>92</v>
      </c>
      <c r="E28" s="5" t="s">
        <v>92</v>
      </c>
      <c r="F28" s="5" t="s">
        <v>92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11">
        <f t="shared" si="0"/>
        <v>1020</v>
      </c>
    </row>
    <row r="29" spans="1:22" x14ac:dyDescent="0.45">
      <c r="A29" s="10" t="str">
        <f>Players!B4</f>
        <v>Chris Nguyen</v>
      </c>
      <c r="B29" s="5" t="s">
        <v>92</v>
      </c>
      <c r="C29" s="5" t="s">
        <v>92</v>
      </c>
      <c r="D29" s="5" t="s">
        <v>92</v>
      </c>
      <c r="E29" s="5" t="s">
        <v>92</v>
      </c>
      <c r="F29" s="5" t="s">
        <v>92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11">
        <f t="shared" si="0"/>
        <v>1020</v>
      </c>
    </row>
    <row r="30" spans="1:22" x14ac:dyDescent="0.45">
      <c r="A30" s="10" t="str">
        <f>Players!B5</f>
        <v>Dave Patel</v>
      </c>
      <c r="B30" s="5" t="s">
        <v>92</v>
      </c>
      <c r="C30" s="5" t="s">
        <v>92</v>
      </c>
      <c r="D30" s="5" t="s">
        <v>92</v>
      </c>
      <c r="E30" s="5" t="s">
        <v>92</v>
      </c>
      <c r="F30" s="5" t="s">
        <v>92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11">
        <f t="shared" si="0"/>
        <v>1020</v>
      </c>
    </row>
    <row r="31" spans="1:22" x14ac:dyDescent="0.45">
      <c r="A31" s="10" t="str">
        <f>Players!B6</f>
        <v>Ethan Wright</v>
      </c>
      <c r="B31" s="5" t="s">
        <v>92</v>
      </c>
      <c r="C31" s="5" t="s">
        <v>92</v>
      </c>
      <c r="D31" s="5" t="s">
        <v>92</v>
      </c>
      <c r="E31" s="5" t="s">
        <v>92</v>
      </c>
      <c r="F31" s="5" t="s">
        <v>92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11">
        <f t="shared" si="0"/>
        <v>1020</v>
      </c>
    </row>
    <row r="32" spans="1:22" x14ac:dyDescent="0.45">
      <c r="A32" s="10" t="str">
        <f>Players!B7</f>
        <v>Frank Lopez</v>
      </c>
      <c r="B32" s="5" t="s">
        <v>92</v>
      </c>
      <c r="C32" s="5" t="s">
        <v>92</v>
      </c>
      <c r="D32" s="5" t="s">
        <v>92</v>
      </c>
      <c r="E32" s="5" t="s">
        <v>92</v>
      </c>
      <c r="F32" s="5" t="s">
        <v>92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11">
        <f t="shared" si="0"/>
        <v>1020</v>
      </c>
    </row>
    <row r="33" spans="1:22" x14ac:dyDescent="0.45">
      <c r="A33" s="10" t="str">
        <f>Players!B8</f>
        <v>George Kim</v>
      </c>
      <c r="B33" s="5"/>
      <c r="C33" s="5" t="s">
        <v>92</v>
      </c>
      <c r="D33" s="5" t="s">
        <v>92</v>
      </c>
      <c r="E33" s="5" t="s">
        <v>92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11">
        <f t="shared" si="0"/>
        <v>660</v>
      </c>
    </row>
    <row r="34" spans="1:22" x14ac:dyDescent="0.45">
      <c r="A34" s="10" t="str">
        <f>Players!B9</f>
        <v>Harry Singh</v>
      </c>
      <c r="B34" s="5"/>
      <c r="C34" s="5" t="s">
        <v>92</v>
      </c>
      <c r="D34" s="5" t="s">
        <v>92</v>
      </c>
      <c r="E34" s="5" t="s">
        <v>92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11">
        <f t="shared" si="0"/>
        <v>660</v>
      </c>
    </row>
    <row r="35" spans="1:22" x14ac:dyDescent="0.45">
      <c r="A35" s="10">
        <f>Players!B10</f>
        <v>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11">
        <f t="shared" si="0"/>
        <v>0</v>
      </c>
    </row>
    <row r="36" spans="1:22" x14ac:dyDescent="0.45">
      <c r="A36" s="10">
        <f>Players!B11</f>
        <v>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11">
        <f t="shared" si="0"/>
        <v>0</v>
      </c>
    </row>
    <row r="37" spans="1:22" x14ac:dyDescent="0.45">
      <c r="A37" s="10">
        <f>Players!B12</f>
        <v>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11">
        <f t="shared" si="0"/>
        <v>0</v>
      </c>
    </row>
    <row r="38" spans="1:22" x14ac:dyDescent="0.45">
      <c r="A38" s="10">
        <f>Players!B13</f>
        <v>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11">
        <f t="shared" si="0"/>
        <v>0</v>
      </c>
    </row>
    <row r="39" spans="1:22" x14ac:dyDescent="0.45">
      <c r="A39" s="10">
        <f>Players!B14</f>
        <v>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11">
        <f t="shared" si="0"/>
        <v>0</v>
      </c>
    </row>
    <row r="40" spans="1:22" x14ac:dyDescent="0.45">
      <c r="A40" s="10">
        <f>Players!B15</f>
        <v>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11">
        <f t="shared" si="0"/>
        <v>0</v>
      </c>
    </row>
    <row r="41" spans="1:22" x14ac:dyDescent="0.45">
      <c r="A41" s="10">
        <f>Players!B16</f>
        <v>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11">
        <f t="shared" si="0"/>
        <v>0</v>
      </c>
    </row>
    <row r="42" spans="1:22" x14ac:dyDescent="0.45">
      <c r="A42" s="10">
        <f>Players!B17</f>
        <v>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11">
        <f t="shared" si="0"/>
        <v>0</v>
      </c>
    </row>
    <row r="43" spans="1:22" x14ac:dyDescent="0.45">
      <c r="A43" s="10">
        <f>Players!B18</f>
        <v>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11">
        <f t="shared" si="0"/>
        <v>0</v>
      </c>
    </row>
    <row r="44" spans="1:22" x14ac:dyDescent="0.45">
      <c r="A44" s="10">
        <f>Players!B19</f>
        <v>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11">
        <f t="shared" si="0"/>
        <v>0</v>
      </c>
    </row>
    <row r="45" spans="1:22" x14ac:dyDescent="0.45">
      <c r="A45" s="10">
        <f>Players!B20</f>
        <v>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11">
        <f t="shared" si="0"/>
        <v>0</v>
      </c>
    </row>
    <row r="46" spans="1:22" x14ac:dyDescent="0.45">
      <c r="A46" s="10">
        <f>Players!B21</f>
        <v>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11">
        <f t="shared" si="0"/>
        <v>0</v>
      </c>
    </row>
    <row r="47" spans="1:22" x14ac:dyDescent="0.45">
      <c r="A47" s="10">
        <f>Players!B22</f>
        <v>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11">
        <f t="shared" si="0"/>
        <v>0</v>
      </c>
    </row>
    <row r="48" spans="1:22" x14ac:dyDescent="0.45">
      <c r="A48" s="10">
        <f>Players!B23</f>
        <v>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11">
        <f t="shared" si="0"/>
        <v>0</v>
      </c>
    </row>
    <row r="49" spans="1:22" x14ac:dyDescent="0.45">
      <c r="A49" s="10">
        <f>Players!B24</f>
        <v>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11">
        <f t="shared" si="0"/>
        <v>0</v>
      </c>
    </row>
    <row r="50" spans="1:22" x14ac:dyDescent="0.45">
      <c r="A50" s="10">
        <f>Players!B25</f>
        <v>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11">
        <f t="shared" si="0"/>
        <v>0</v>
      </c>
    </row>
    <row r="51" spans="1:22" x14ac:dyDescent="0.45">
      <c r="A51" s="10">
        <f>Players!B26</f>
        <v>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11">
        <f t="shared" si="0"/>
        <v>0</v>
      </c>
    </row>
    <row r="52" spans="1:22" x14ac:dyDescent="0.45">
      <c r="A52" s="10">
        <f>Players!B27</f>
        <v>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11">
        <f t="shared" si="0"/>
        <v>0</v>
      </c>
    </row>
    <row r="53" spans="1:22" x14ac:dyDescent="0.45">
      <c r="A53" s="10">
        <f>Players!B28</f>
        <v>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11">
        <f t="shared" si="0"/>
        <v>0</v>
      </c>
    </row>
    <row r="54" spans="1:22" x14ac:dyDescent="0.45">
      <c r="A54" s="10">
        <f>Players!B29</f>
        <v>0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11">
        <f t="shared" si="0"/>
        <v>0</v>
      </c>
    </row>
    <row r="55" spans="1:22" x14ac:dyDescent="0.45">
      <c r="A55" s="10">
        <f>Players!B30</f>
        <v>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11">
        <f t="shared" si="0"/>
        <v>0</v>
      </c>
    </row>
    <row r="56" spans="1:22" x14ac:dyDescent="0.45">
      <c r="A56" s="10">
        <f>Players!B31</f>
        <v>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11">
        <f t="shared" si="0"/>
        <v>0</v>
      </c>
    </row>
    <row r="57" spans="1:22" x14ac:dyDescent="0.45">
      <c r="A57" s="10">
        <f>Players!B32</f>
        <v>0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11">
        <f t="shared" si="0"/>
        <v>0</v>
      </c>
    </row>
    <row r="58" spans="1:22" x14ac:dyDescent="0.45">
      <c r="A58" s="10">
        <f>Players!B33</f>
        <v>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11">
        <f t="shared" si="0"/>
        <v>0</v>
      </c>
    </row>
  </sheetData>
  <dataValidations count="1">
    <dataValidation type="list" allowBlank="1" sqref="B27:U58" xr:uid="{00000000-0002-0000-0500-000000000000}">
      <formula1>"Shared,Single"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9"/>
  <sheetViews>
    <sheetView showGridLines="0" workbookViewId="0">
      <pane xSplit="1" ySplit="17" topLeftCell="B18" activePane="bottomRight" state="frozen"/>
      <selection pane="topRight"/>
      <selection pane="bottomLeft"/>
      <selection pane="bottomRight"/>
    </sheetView>
  </sheetViews>
  <sheetFormatPr defaultRowHeight="14.25" x14ac:dyDescent="0.45"/>
  <cols>
    <col min="1" max="2" width="26" customWidth="1"/>
  </cols>
  <sheetData>
    <row r="1" spans="1:14" ht="27.75" x14ac:dyDescent="0.45">
      <c r="A1" s="8" t="s">
        <v>63</v>
      </c>
      <c r="B1" s="8" t="s">
        <v>64</v>
      </c>
      <c r="C1" s="8" t="s">
        <v>93</v>
      </c>
    </row>
    <row r="2" spans="1:14" x14ac:dyDescent="0.45">
      <c r="A2" s="6">
        <v>1</v>
      </c>
      <c r="B2" s="5" t="s">
        <v>94</v>
      </c>
      <c r="C2" s="9">
        <v>45</v>
      </c>
    </row>
    <row r="3" spans="1:14" x14ac:dyDescent="0.45">
      <c r="A3" s="6">
        <v>2</v>
      </c>
      <c r="B3" s="5" t="s">
        <v>95</v>
      </c>
      <c r="C3" s="9">
        <v>25</v>
      </c>
    </row>
    <row r="4" spans="1:14" x14ac:dyDescent="0.45">
      <c r="A4" s="6">
        <v>3</v>
      </c>
      <c r="B4" s="5" t="s">
        <v>96</v>
      </c>
      <c r="C4" s="9">
        <v>18</v>
      </c>
    </row>
    <row r="5" spans="1:14" x14ac:dyDescent="0.45">
      <c r="A5" s="6">
        <v>4</v>
      </c>
      <c r="B5" s="5"/>
      <c r="C5" s="9"/>
    </row>
    <row r="6" spans="1:14" x14ac:dyDescent="0.45">
      <c r="A6" s="6">
        <v>5</v>
      </c>
      <c r="B6" s="5"/>
      <c r="C6" s="9"/>
    </row>
    <row r="7" spans="1:14" x14ac:dyDescent="0.45">
      <c r="A7" s="6">
        <v>6</v>
      </c>
      <c r="B7" s="5"/>
      <c r="C7" s="9"/>
    </row>
    <row r="8" spans="1:14" x14ac:dyDescent="0.45">
      <c r="A8" s="6">
        <v>7</v>
      </c>
      <c r="B8" s="5"/>
      <c r="C8" s="9"/>
    </row>
    <row r="9" spans="1:14" x14ac:dyDescent="0.45">
      <c r="A9" s="6">
        <v>8</v>
      </c>
      <c r="B9" s="5"/>
      <c r="C9" s="9"/>
    </row>
    <row r="10" spans="1:14" x14ac:dyDescent="0.45">
      <c r="A10" s="6">
        <v>9</v>
      </c>
      <c r="B10" s="5"/>
      <c r="C10" s="9"/>
    </row>
    <row r="11" spans="1:14" x14ac:dyDescent="0.45">
      <c r="A11" s="6">
        <v>10</v>
      </c>
      <c r="B11" s="5"/>
      <c r="C11" s="9"/>
    </row>
    <row r="12" spans="1:14" x14ac:dyDescent="0.45">
      <c r="A12" s="6">
        <v>11</v>
      </c>
      <c r="B12" s="5"/>
      <c r="C12" s="9"/>
    </row>
    <row r="13" spans="1:14" x14ac:dyDescent="0.45">
      <c r="A13" s="6">
        <v>12</v>
      </c>
      <c r="B13" s="5"/>
      <c r="C13" s="9"/>
    </row>
    <row r="15" spans="1:14" ht="55.9" x14ac:dyDescent="0.45">
      <c r="A15" s="14" t="s">
        <v>74</v>
      </c>
      <c r="B15" s="15" t="str">
        <f>B2</f>
        <v>Event polo shirt</v>
      </c>
      <c r="C15" s="15" t="str">
        <f>B3</f>
        <v>Cap</v>
      </c>
      <c r="D15" s="15" t="str">
        <f>B4</f>
        <v>Towel</v>
      </c>
      <c r="E15" s="15">
        <f>B5</f>
        <v>0</v>
      </c>
      <c r="F15" s="15">
        <f>B6</f>
        <v>0</v>
      </c>
      <c r="G15" s="15">
        <f>B7</f>
        <v>0</v>
      </c>
      <c r="H15" s="15">
        <f>B8</f>
        <v>0</v>
      </c>
      <c r="I15" s="15">
        <f>B9</f>
        <v>0</v>
      </c>
      <c r="J15" s="15">
        <f>B10</f>
        <v>0</v>
      </c>
      <c r="K15" s="15">
        <f>B11</f>
        <v>0</v>
      </c>
      <c r="L15" s="15">
        <f>B12</f>
        <v>0</v>
      </c>
      <c r="M15" s="15">
        <f>B13</f>
        <v>0</v>
      </c>
      <c r="N15" s="15" t="s">
        <v>97</v>
      </c>
    </row>
    <row r="16" spans="1:14" x14ac:dyDescent="0.45">
      <c r="A16" s="4" t="s">
        <v>93</v>
      </c>
      <c r="B16" s="11">
        <f>C2</f>
        <v>45</v>
      </c>
      <c r="C16" s="11">
        <f>C3</f>
        <v>25</v>
      </c>
      <c r="D16" s="11">
        <f>C4</f>
        <v>18</v>
      </c>
      <c r="E16" s="11">
        <f>C5</f>
        <v>0</v>
      </c>
      <c r="F16" s="11">
        <f>C6</f>
        <v>0</v>
      </c>
      <c r="G16" s="11">
        <f>C7</f>
        <v>0</v>
      </c>
      <c r="H16" s="11">
        <f>C8</f>
        <v>0</v>
      </c>
      <c r="I16" s="11">
        <f>C9</f>
        <v>0</v>
      </c>
      <c r="J16" s="11">
        <f>C10</f>
        <v>0</v>
      </c>
      <c r="K16" s="11">
        <f>C11</f>
        <v>0</v>
      </c>
      <c r="L16" s="11">
        <f>C12</f>
        <v>0</v>
      </c>
      <c r="M16" s="11">
        <f>C13</f>
        <v>0</v>
      </c>
    </row>
    <row r="18" spans="1:14" x14ac:dyDescent="0.45">
      <c r="A18" s="10" t="str">
        <f>Players!B2</f>
        <v>Alex Thompson</v>
      </c>
      <c r="B18" s="5">
        <v>1</v>
      </c>
      <c r="C18" s="5">
        <v>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11">
        <f t="shared" ref="N18:N49" si="0">SUMPRODUCT(B18:M18,B$16:M$16)</f>
        <v>70</v>
      </c>
    </row>
    <row r="19" spans="1:14" x14ac:dyDescent="0.45">
      <c r="A19" s="10" t="str">
        <f>Players!B3</f>
        <v>Ben Carter</v>
      </c>
      <c r="B19" s="5">
        <v>1</v>
      </c>
      <c r="C19" s="5">
        <v>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11">
        <f t="shared" si="0"/>
        <v>70</v>
      </c>
    </row>
    <row r="20" spans="1:14" x14ac:dyDescent="0.45">
      <c r="A20" s="10" t="str">
        <f>Players!B4</f>
        <v>Chris Nguyen</v>
      </c>
      <c r="B20" s="5">
        <v>1</v>
      </c>
      <c r="C20" s="5">
        <v>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11">
        <f t="shared" si="0"/>
        <v>70</v>
      </c>
    </row>
    <row r="21" spans="1:14" x14ac:dyDescent="0.45">
      <c r="A21" s="10" t="str">
        <f>Players!B5</f>
        <v>Dave Patel</v>
      </c>
      <c r="B21" s="5">
        <v>1</v>
      </c>
      <c r="C21" s="5">
        <v>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11">
        <f t="shared" si="0"/>
        <v>70</v>
      </c>
    </row>
    <row r="22" spans="1:14" x14ac:dyDescent="0.45">
      <c r="A22" s="10" t="str">
        <f>Players!B6</f>
        <v>Ethan Wright</v>
      </c>
      <c r="B22" s="5">
        <v>1</v>
      </c>
      <c r="C22" s="5">
        <v>1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11">
        <f t="shared" si="0"/>
        <v>70</v>
      </c>
    </row>
    <row r="23" spans="1:14" x14ac:dyDescent="0.45">
      <c r="A23" s="10" t="str">
        <f>Players!B7</f>
        <v>Frank Lopez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1">
        <f t="shared" si="0"/>
        <v>0</v>
      </c>
    </row>
    <row r="24" spans="1:14" x14ac:dyDescent="0.45">
      <c r="A24" s="10" t="str">
        <f>Players!B8</f>
        <v>George Kim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1">
        <f t="shared" si="0"/>
        <v>0</v>
      </c>
    </row>
    <row r="25" spans="1:14" x14ac:dyDescent="0.45">
      <c r="A25" s="10" t="str">
        <f>Players!B9</f>
        <v>Harry Singh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1">
        <f t="shared" si="0"/>
        <v>0</v>
      </c>
    </row>
    <row r="26" spans="1:14" x14ac:dyDescent="0.45">
      <c r="A26" s="10">
        <f>Players!B10</f>
        <v>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1">
        <f t="shared" si="0"/>
        <v>0</v>
      </c>
    </row>
    <row r="27" spans="1:14" x14ac:dyDescent="0.45">
      <c r="A27" s="10">
        <f>Players!B11</f>
        <v>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1">
        <f t="shared" si="0"/>
        <v>0</v>
      </c>
    </row>
    <row r="28" spans="1:14" x14ac:dyDescent="0.45">
      <c r="A28" s="10">
        <f>Players!B12</f>
        <v>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1">
        <f t="shared" si="0"/>
        <v>0</v>
      </c>
    </row>
    <row r="29" spans="1:14" x14ac:dyDescent="0.45">
      <c r="A29" s="10">
        <f>Players!B13</f>
        <v>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1">
        <f t="shared" si="0"/>
        <v>0</v>
      </c>
    </row>
    <row r="30" spans="1:14" x14ac:dyDescent="0.45">
      <c r="A30" s="10">
        <f>Players!B14</f>
        <v>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1">
        <f t="shared" si="0"/>
        <v>0</v>
      </c>
    </row>
    <row r="31" spans="1:14" x14ac:dyDescent="0.45">
      <c r="A31" s="10">
        <f>Players!B15</f>
        <v>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1">
        <f t="shared" si="0"/>
        <v>0</v>
      </c>
    </row>
    <row r="32" spans="1:14" x14ac:dyDescent="0.45">
      <c r="A32" s="10">
        <f>Players!B16</f>
        <v>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1">
        <f t="shared" si="0"/>
        <v>0</v>
      </c>
    </row>
    <row r="33" spans="1:14" x14ac:dyDescent="0.45">
      <c r="A33" s="10">
        <f>Players!B17</f>
        <v>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1">
        <f t="shared" si="0"/>
        <v>0</v>
      </c>
    </row>
    <row r="34" spans="1:14" x14ac:dyDescent="0.45">
      <c r="A34" s="10">
        <f>Players!B18</f>
        <v>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1">
        <f t="shared" si="0"/>
        <v>0</v>
      </c>
    </row>
    <row r="35" spans="1:14" x14ac:dyDescent="0.45">
      <c r="A35" s="10">
        <f>Players!B19</f>
        <v>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1">
        <f t="shared" si="0"/>
        <v>0</v>
      </c>
    </row>
    <row r="36" spans="1:14" x14ac:dyDescent="0.45">
      <c r="A36" s="10">
        <f>Players!B20</f>
        <v>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1">
        <f t="shared" si="0"/>
        <v>0</v>
      </c>
    </row>
    <row r="37" spans="1:14" x14ac:dyDescent="0.45">
      <c r="A37" s="10">
        <f>Players!B21</f>
        <v>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1">
        <f t="shared" si="0"/>
        <v>0</v>
      </c>
    </row>
    <row r="38" spans="1:14" x14ac:dyDescent="0.45">
      <c r="A38" s="10">
        <f>Players!B22</f>
        <v>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1">
        <f t="shared" si="0"/>
        <v>0</v>
      </c>
    </row>
    <row r="39" spans="1:14" x14ac:dyDescent="0.45">
      <c r="A39" s="10">
        <f>Players!B23</f>
        <v>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1">
        <f t="shared" si="0"/>
        <v>0</v>
      </c>
    </row>
    <row r="40" spans="1:14" x14ac:dyDescent="0.45">
      <c r="A40" s="10">
        <f>Players!B24</f>
        <v>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1">
        <f t="shared" si="0"/>
        <v>0</v>
      </c>
    </row>
    <row r="41" spans="1:14" x14ac:dyDescent="0.45">
      <c r="A41" s="10">
        <f>Players!B25</f>
        <v>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1">
        <f t="shared" si="0"/>
        <v>0</v>
      </c>
    </row>
    <row r="42" spans="1:14" x14ac:dyDescent="0.45">
      <c r="A42" s="10">
        <f>Players!B26</f>
        <v>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1">
        <f t="shared" si="0"/>
        <v>0</v>
      </c>
    </row>
    <row r="43" spans="1:14" x14ac:dyDescent="0.45">
      <c r="A43" s="10">
        <f>Players!B27</f>
        <v>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1">
        <f t="shared" si="0"/>
        <v>0</v>
      </c>
    </row>
    <row r="44" spans="1:14" x14ac:dyDescent="0.45">
      <c r="A44" s="10">
        <f>Players!B28</f>
        <v>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1">
        <f t="shared" si="0"/>
        <v>0</v>
      </c>
    </row>
    <row r="45" spans="1:14" x14ac:dyDescent="0.45">
      <c r="A45" s="10">
        <f>Players!B29</f>
        <v>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1">
        <f t="shared" si="0"/>
        <v>0</v>
      </c>
    </row>
    <row r="46" spans="1:14" x14ac:dyDescent="0.45">
      <c r="A46" s="10">
        <f>Players!B30</f>
        <v>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1">
        <f t="shared" si="0"/>
        <v>0</v>
      </c>
    </row>
    <row r="47" spans="1:14" x14ac:dyDescent="0.45">
      <c r="A47" s="10">
        <f>Players!B31</f>
        <v>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1">
        <f t="shared" si="0"/>
        <v>0</v>
      </c>
    </row>
    <row r="48" spans="1:14" x14ac:dyDescent="0.45">
      <c r="A48" s="10">
        <f>Players!B32</f>
        <v>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1">
        <f t="shared" si="0"/>
        <v>0</v>
      </c>
    </row>
    <row r="49" spans="1:14" x14ac:dyDescent="0.45">
      <c r="A49" s="10">
        <f>Players!B33</f>
        <v>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1">
        <f t="shared" si="0"/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5"/>
  <sheetViews>
    <sheetView showGridLines="0" workbookViewId="0"/>
  </sheetViews>
  <sheetFormatPr defaultRowHeight="14.25" x14ac:dyDescent="0.45"/>
  <cols>
    <col min="1" max="1" width="8" customWidth="1"/>
    <col min="2" max="2" width="30" customWidth="1"/>
    <col min="3" max="3" width="16" customWidth="1"/>
    <col min="4" max="4" width="22" customWidth="1"/>
  </cols>
  <sheetData>
    <row r="1" spans="1:4" x14ac:dyDescent="0.45">
      <c r="A1" s="8" t="s">
        <v>63</v>
      </c>
      <c r="B1" s="8" t="s">
        <v>64</v>
      </c>
      <c r="C1" s="8" t="s">
        <v>98</v>
      </c>
    </row>
    <row r="2" spans="1:4" x14ac:dyDescent="0.45">
      <c r="A2" s="6">
        <v>1</v>
      </c>
      <c r="B2" s="5" t="s">
        <v>99</v>
      </c>
      <c r="C2" s="9">
        <v>400</v>
      </c>
    </row>
    <row r="3" spans="1:4" x14ac:dyDescent="0.45">
      <c r="A3" s="6">
        <v>2</v>
      </c>
      <c r="B3" s="5" t="s">
        <v>100</v>
      </c>
      <c r="C3" s="9">
        <v>150</v>
      </c>
    </row>
    <row r="4" spans="1:4" x14ac:dyDescent="0.45">
      <c r="A4" s="6">
        <v>3</v>
      </c>
      <c r="B4" s="5" t="s">
        <v>101</v>
      </c>
      <c r="C4" s="9">
        <v>320</v>
      </c>
    </row>
    <row r="5" spans="1:4" x14ac:dyDescent="0.45">
      <c r="A5" s="6">
        <v>4</v>
      </c>
      <c r="B5" s="5"/>
      <c r="C5" s="9"/>
    </row>
    <row r="6" spans="1:4" x14ac:dyDescent="0.45">
      <c r="A6" s="6">
        <v>5</v>
      </c>
      <c r="B6" s="5"/>
      <c r="C6" s="9"/>
    </row>
    <row r="7" spans="1:4" x14ac:dyDescent="0.45">
      <c r="A7" s="6">
        <v>6</v>
      </c>
      <c r="B7" s="5"/>
      <c r="C7" s="9"/>
    </row>
    <row r="8" spans="1:4" x14ac:dyDescent="0.45">
      <c r="A8" s="6">
        <v>7</v>
      </c>
      <c r="B8" s="5"/>
      <c r="C8" s="9"/>
    </row>
    <row r="9" spans="1:4" x14ac:dyDescent="0.45">
      <c r="A9" s="6">
        <v>8</v>
      </c>
      <c r="B9" s="5"/>
      <c r="C9" s="9"/>
    </row>
    <row r="10" spans="1:4" x14ac:dyDescent="0.45">
      <c r="A10" s="6">
        <v>9</v>
      </c>
      <c r="B10" s="5"/>
      <c r="C10" s="9"/>
    </row>
    <row r="11" spans="1:4" x14ac:dyDescent="0.45">
      <c r="A11" s="6">
        <v>10</v>
      </c>
      <c r="B11" s="5"/>
      <c r="C11" s="9"/>
    </row>
    <row r="12" spans="1:4" x14ac:dyDescent="0.45">
      <c r="A12" s="6">
        <v>11</v>
      </c>
      <c r="B12" s="5"/>
      <c r="C12" s="9"/>
    </row>
    <row r="13" spans="1:4" x14ac:dyDescent="0.45">
      <c r="A13" s="6">
        <v>12</v>
      </c>
      <c r="B13" s="5"/>
      <c r="C13" s="9"/>
    </row>
    <row r="14" spans="1:4" x14ac:dyDescent="0.45">
      <c r="B14" s="4" t="s">
        <v>102</v>
      </c>
    </row>
    <row r="15" spans="1:4" x14ac:dyDescent="0.45">
      <c r="A15" s="12" t="s">
        <v>62</v>
      </c>
      <c r="B15" s="18"/>
      <c r="C15" s="13">
        <f>SUM(C2:C13)</f>
        <v>870</v>
      </c>
      <c r="D15" s="11">
        <f>IF(Setup!$B$4=0,0,C15/Setup!$B$4)</f>
        <v>108.75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3"/>
  <sheetViews>
    <sheetView showGridLines="0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RowHeight="14.25" x14ac:dyDescent="0.45"/>
  <cols>
    <col min="1" max="2" width="26" customWidth="1"/>
    <col min="3" max="3" width="14" customWidth="1"/>
    <col min="4" max="4" width="18" customWidth="1"/>
    <col min="5" max="5" width="16" customWidth="1"/>
  </cols>
  <sheetData>
    <row r="1" spans="1:9" ht="27.75" x14ac:dyDescent="0.45">
      <c r="A1" s="8" t="s">
        <v>103</v>
      </c>
      <c r="B1" s="8" t="s">
        <v>104</v>
      </c>
      <c r="C1" s="8" t="s">
        <v>105</v>
      </c>
      <c r="D1" s="8" t="s">
        <v>106</v>
      </c>
      <c r="E1" s="8" t="s">
        <v>107</v>
      </c>
    </row>
    <row r="2" spans="1:9" x14ac:dyDescent="0.45">
      <c r="A2" s="6">
        <v>1</v>
      </c>
      <c r="B2" s="5" t="s">
        <v>108</v>
      </c>
      <c r="C2" s="9">
        <v>50</v>
      </c>
      <c r="D2" s="5" t="s">
        <v>41</v>
      </c>
      <c r="E2" s="9">
        <v>400</v>
      </c>
    </row>
    <row r="3" spans="1:9" x14ac:dyDescent="0.45">
      <c r="A3" s="6">
        <v>2</v>
      </c>
      <c r="B3" s="5" t="s">
        <v>109</v>
      </c>
      <c r="C3" s="9">
        <v>20</v>
      </c>
      <c r="D3" s="5" t="s">
        <v>40</v>
      </c>
      <c r="E3" s="9">
        <v>160</v>
      </c>
    </row>
    <row r="4" spans="1:9" x14ac:dyDescent="0.45">
      <c r="A4" s="6">
        <v>3</v>
      </c>
      <c r="B4" s="5"/>
      <c r="C4" s="9"/>
      <c r="D4" s="5"/>
      <c r="E4" s="9"/>
    </row>
    <row r="5" spans="1:9" x14ac:dyDescent="0.45">
      <c r="A5" s="6">
        <v>4</v>
      </c>
      <c r="B5" s="5"/>
      <c r="C5" s="9"/>
      <c r="D5" s="5"/>
      <c r="E5" s="9"/>
    </row>
    <row r="6" spans="1:9" x14ac:dyDescent="0.45">
      <c r="A6" s="6">
        <v>5</v>
      </c>
      <c r="B6" s="5"/>
      <c r="C6" s="9"/>
      <c r="D6" s="5"/>
      <c r="E6" s="9"/>
    </row>
    <row r="9" spans="1:9" ht="55.9" x14ac:dyDescent="0.45">
      <c r="A9" s="14" t="s">
        <v>74</v>
      </c>
      <c r="B9" s="15" t="str">
        <f>B2</f>
        <v>The Calcutta</v>
      </c>
      <c r="C9" s="15" t="str">
        <f>B3</f>
        <v>Nearest the Pin</v>
      </c>
      <c r="D9" s="15">
        <f>B4</f>
        <v>0</v>
      </c>
      <c r="E9" s="15">
        <f>B5</f>
        <v>0</v>
      </c>
      <c r="F9" s="15">
        <f>B6</f>
        <v>0</v>
      </c>
      <c r="G9" s="15" t="s">
        <v>110</v>
      </c>
      <c r="H9" s="15" t="s">
        <v>111</v>
      </c>
      <c r="I9" s="15" t="s">
        <v>112</v>
      </c>
    </row>
    <row r="10" spans="1:9" x14ac:dyDescent="0.45">
      <c r="A10" s="4" t="s">
        <v>105</v>
      </c>
      <c r="B10" s="11">
        <f>C2</f>
        <v>50</v>
      </c>
      <c r="C10" s="11">
        <f>C3</f>
        <v>20</v>
      </c>
      <c r="D10" s="11">
        <f>C4</f>
        <v>0</v>
      </c>
      <c r="E10" s="11">
        <f>C5</f>
        <v>0</v>
      </c>
      <c r="F10" s="11">
        <f>C6</f>
        <v>0</v>
      </c>
    </row>
    <row r="12" spans="1:9" x14ac:dyDescent="0.45">
      <c r="A12" s="10" t="str">
        <f>Players!B2</f>
        <v>Alex Thompson</v>
      </c>
      <c r="B12" s="5">
        <v>1</v>
      </c>
      <c r="C12" s="5">
        <v>1</v>
      </c>
      <c r="D12" s="5"/>
      <c r="E12" s="5"/>
      <c r="F12" s="5"/>
      <c r="G12" s="11">
        <f t="shared" ref="G12:G43" si="0">SUMPRODUCT(B12:F12,B$10:F$10)</f>
        <v>70</v>
      </c>
      <c r="H12" s="11">
        <f t="shared" ref="H12:H43" si="1">SUMIF($D$2:$D$6,A12,$E$2:$E$6)</f>
        <v>0</v>
      </c>
      <c r="I12" s="11">
        <f t="shared" ref="I12:I43" si="2">G12-H12</f>
        <v>70</v>
      </c>
    </row>
    <row r="13" spans="1:9" x14ac:dyDescent="0.45">
      <c r="A13" s="10" t="str">
        <f>Players!B3</f>
        <v>Ben Carter</v>
      </c>
      <c r="B13" s="5">
        <v>1</v>
      </c>
      <c r="C13" s="5">
        <v>1</v>
      </c>
      <c r="D13" s="5"/>
      <c r="E13" s="5"/>
      <c r="F13" s="5"/>
      <c r="G13" s="11">
        <f t="shared" si="0"/>
        <v>70</v>
      </c>
      <c r="H13" s="11">
        <f t="shared" si="1"/>
        <v>160</v>
      </c>
      <c r="I13" s="11">
        <f t="shared" si="2"/>
        <v>-90</v>
      </c>
    </row>
    <row r="14" spans="1:9" x14ac:dyDescent="0.45">
      <c r="A14" s="10" t="str">
        <f>Players!B4</f>
        <v>Chris Nguyen</v>
      </c>
      <c r="B14" s="5">
        <v>1</v>
      </c>
      <c r="C14" s="5">
        <v>1</v>
      </c>
      <c r="D14" s="5"/>
      <c r="E14" s="5"/>
      <c r="F14" s="5"/>
      <c r="G14" s="11">
        <f t="shared" si="0"/>
        <v>70</v>
      </c>
      <c r="H14" s="11">
        <f t="shared" si="1"/>
        <v>400</v>
      </c>
      <c r="I14" s="11">
        <f t="shared" si="2"/>
        <v>-330</v>
      </c>
    </row>
    <row r="15" spans="1:9" x14ac:dyDescent="0.45">
      <c r="A15" s="10" t="str">
        <f>Players!B5</f>
        <v>Dave Patel</v>
      </c>
      <c r="B15" s="5">
        <v>1</v>
      </c>
      <c r="C15" s="5">
        <v>1</v>
      </c>
      <c r="D15" s="5"/>
      <c r="E15" s="5"/>
      <c r="F15" s="5"/>
      <c r="G15" s="11">
        <f t="shared" si="0"/>
        <v>70</v>
      </c>
      <c r="H15" s="11">
        <f t="shared" si="1"/>
        <v>0</v>
      </c>
      <c r="I15" s="11">
        <f t="shared" si="2"/>
        <v>70</v>
      </c>
    </row>
    <row r="16" spans="1:9" x14ac:dyDescent="0.45">
      <c r="A16" s="10" t="str">
        <f>Players!B6</f>
        <v>Ethan Wright</v>
      </c>
      <c r="B16" s="5">
        <v>1</v>
      </c>
      <c r="C16" s="5">
        <v>1</v>
      </c>
      <c r="D16" s="5"/>
      <c r="E16" s="5"/>
      <c r="F16" s="5"/>
      <c r="G16" s="11">
        <f t="shared" si="0"/>
        <v>70</v>
      </c>
      <c r="H16" s="11">
        <f t="shared" si="1"/>
        <v>0</v>
      </c>
      <c r="I16" s="11">
        <f t="shared" si="2"/>
        <v>70</v>
      </c>
    </row>
    <row r="17" spans="1:9" x14ac:dyDescent="0.45">
      <c r="A17" s="10" t="str">
        <f>Players!B7</f>
        <v>Frank Lopez</v>
      </c>
      <c r="B17" s="5">
        <v>1</v>
      </c>
      <c r="C17" s="5">
        <v>1</v>
      </c>
      <c r="D17" s="5"/>
      <c r="E17" s="5"/>
      <c r="F17" s="5"/>
      <c r="G17" s="11">
        <f t="shared" si="0"/>
        <v>70</v>
      </c>
      <c r="H17" s="11">
        <f t="shared" si="1"/>
        <v>0</v>
      </c>
      <c r="I17" s="11">
        <f t="shared" si="2"/>
        <v>70</v>
      </c>
    </row>
    <row r="18" spans="1:9" x14ac:dyDescent="0.45">
      <c r="A18" s="10" t="str">
        <f>Players!B8</f>
        <v>George Kim</v>
      </c>
      <c r="B18" s="5">
        <v>1</v>
      </c>
      <c r="C18" s="5">
        <v>1</v>
      </c>
      <c r="D18" s="5"/>
      <c r="E18" s="5"/>
      <c r="F18" s="5"/>
      <c r="G18" s="11">
        <f t="shared" si="0"/>
        <v>70</v>
      </c>
      <c r="H18" s="11">
        <f t="shared" si="1"/>
        <v>0</v>
      </c>
      <c r="I18" s="11">
        <f t="shared" si="2"/>
        <v>70</v>
      </c>
    </row>
    <row r="19" spans="1:9" x14ac:dyDescent="0.45">
      <c r="A19" s="10" t="str">
        <f>Players!B9</f>
        <v>Harry Singh</v>
      </c>
      <c r="B19" s="5">
        <v>1</v>
      </c>
      <c r="C19" s="5">
        <v>1</v>
      </c>
      <c r="D19" s="5"/>
      <c r="E19" s="5"/>
      <c r="F19" s="5"/>
      <c r="G19" s="11">
        <f t="shared" si="0"/>
        <v>70</v>
      </c>
      <c r="H19" s="11">
        <f t="shared" si="1"/>
        <v>0</v>
      </c>
      <c r="I19" s="11">
        <f t="shared" si="2"/>
        <v>70</v>
      </c>
    </row>
    <row r="20" spans="1:9" x14ac:dyDescent="0.45">
      <c r="A20" s="10">
        <f>Players!B10</f>
        <v>0</v>
      </c>
      <c r="B20" s="5"/>
      <c r="C20" s="5"/>
      <c r="D20" s="5"/>
      <c r="E20" s="5"/>
      <c r="F20" s="5"/>
      <c r="G20" s="11">
        <f t="shared" si="0"/>
        <v>0</v>
      </c>
      <c r="H20" s="11">
        <f t="shared" si="1"/>
        <v>0</v>
      </c>
      <c r="I20" s="11">
        <f t="shared" si="2"/>
        <v>0</v>
      </c>
    </row>
    <row r="21" spans="1:9" x14ac:dyDescent="0.45">
      <c r="A21" s="10">
        <f>Players!B11</f>
        <v>0</v>
      </c>
      <c r="B21" s="5"/>
      <c r="C21" s="5"/>
      <c r="D21" s="5"/>
      <c r="E21" s="5"/>
      <c r="F21" s="5"/>
      <c r="G21" s="11">
        <f t="shared" si="0"/>
        <v>0</v>
      </c>
      <c r="H21" s="11">
        <f t="shared" si="1"/>
        <v>0</v>
      </c>
      <c r="I21" s="11">
        <f t="shared" si="2"/>
        <v>0</v>
      </c>
    </row>
    <row r="22" spans="1:9" x14ac:dyDescent="0.45">
      <c r="A22" s="10">
        <f>Players!B12</f>
        <v>0</v>
      </c>
      <c r="B22" s="5"/>
      <c r="C22" s="5"/>
      <c r="D22" s="5"/>
      <c r="E22" s="5"/>
      <c r="F22" s="5"/>
      <c r="G22" s="11">
        <f t="shared" si="0"/>
        <v>0</v>
      </c>
      <c r="H22" s="11">
        <f t="shared" si="1"/>
        <v>0</v>
      </c>
      <c r="I22" s="11">
        <f t="shared" si="2"/>
        <v>0</v>
      </c>
    </row>
    <row r="23" spans="1:9" x14ac:dyDescent="0.45">
      <c r="A23" s="10">
        <f>Players!B13</f>
        <v>0</v>
      </c>
      <c r="B23" s="5"/>
      <c r="C23" s="5"/>
      <c r="D23" s="5"/>
      <c r="E23" s="5"/>
      <c r="F23" s="5"/>
      <c r="G23" s="11">
        <f t="shared" si="0"/>
        <v>0</v>
      </c>
      <c r="H23" s="11">
        <f t="shared" si="1"/>
        <v>0</v>
      </c>
      <c r="I23" s="11">
        <f t="shared" si="2"/>
        <v>0</v>
      </c>
    </row>
    <row r="24" spans="1:9" x14ac:dyDescent="0.45">
      <c r="A24" s="10">
        <f>Players!B14</f>
        <v>0</v>
      </c>
      <c r="B24" s="5"/>
      <c r="C24" s="5"/>
      <c r="D24" s="5"/>
      <c r="E24" s="5"/>
      <c r="F24" s="5"/>
      <c r="G24" s="11">
        <f t="shared" si="0"/>
        <v>0</v>
      </c>
      <c r="H24" s="11">
        <f t="shared" si="1"/>
        <v>0</v>
      </c>
      <c r="I24" s="11">
        <f t="shared" si="2"/>
        <v>0</v>
      </c>
    </row>
    <row r="25" spans="1:9" x14ac:dyDescent="0.45">
      <c r="A25" s="10">
        <f>Players!B15</f>
        <v>0</v>
      </c>
      <c r="B25" s="5"/>
      <c r="C25" s="5"/>
      <c r="D25" s="5"/>
      <c r="E25" s="5"/>
      <c r="F25" s="5"/>
      <c r="G25" s="11">
        <f t="shared" si="0"/>
        <v>0</v>
      </c>
      <c r="H25" s="11">
        <f t="shared" si="1"/>
        <v>0</v>
      </c>
      <c r="I25" s="11">
        <f t="shared" si="2"/>
        <v>0</v>
      </c>
    </row>
    <row r="26" spans="1:9" x14ac:dyDescent="0.45">
      <c r="A26" s="10">
        <f>Players!B16</f>
        <v>0</v>
      </c>
      <c r="B26" s="5"/>
      <c r="C26" s="5"/>
      <c r="D26" s="5"/>
      <c r="E26" s="5"/>
      <c r="F26" s="5"/>
      <c r="G26" s="11">
        <f t="shared" si="0"/>
        <v>0</v>
      </c>
      <c r="H26" s="11">
        <f t="shared" si="1"/>
        <v>0</v>
      </c>
      <c r="I26" s="11">
        <f t="shared" si="2"/>
        <v>0</v>
      </c>
    </row>
    <row r="27" spans="1:9" x14ac:dyDescent="0.45">
      <c r="A27" s="10">
        <f>Players!B17</f>
        <v>0</v>
      </c>
      <c r="B27" s="5"/>
      <c r="C27" s="5"/>
      <c r="D27" s="5"/>
      <c r="E27" s="5"/>
      <c r="F27" s="5"/>
      <c r="G27" s="11">
        <f t="shared" si="0"/>
        <v>0</v>
      </c>
      <c r="H27" s="11">
        <f t="shared" si="1"/>
        <v>0</v>
      </c>
      <c r="I27" s="11">
        <f t="shared" si="2"/>
        <v>0</v>
      </c>
    </row>
    <row r="28" spans="1:9" x14ac:dyDescent="0.45">
      <c r="A28" s="10">
        <f>Players!B18</f>
        <v>0</v>
      </c>
      <c r="B28" s="5"/>
      <c r="C28" s="5"/>
      <c r="D28" s="5"/>
      <c r="E28" s="5"/>
      <c r="F28" s="5"/>
      <c r="G28" s="11">
        <f t="shared" si="0"/>
        <v>0</v>
      </c>
      <c r="H28" s="11">
        <f t="shared" si="1"/>
        <v>0</v>
      </c>
      <c r="I28" s="11">
        <f t="shared" si="2"/>
        <v>0</v>
      </c>
    </row>
    <row r="29" spans="1:9" x14ac:dyDescent="0.45">
      <c r="A29" s="10">
        <f>Players!B19</f>
        <v>0</v>
      </c>
      <c r="B29" s="5"/>
      <c r="C29" s="5"/>
      <c r="D29" s="5"/>
      <c r="E29" s="5"/>
      <c r="F29" s="5"/>
      <c r="G29" s="11">
        <f t="shared" si="0"/>
        <v>0</v>
      </c>
      <c r="H29" s="11">
        <f t="shared" si="1"/>
        <v>0</v>
      </c>
      <c r="I29" s="11">
        <f t="shared" si="2"/>
        <v>0</v>
      </c>
    </row>
    <row r="30" spans="1:9" x14ac:dyDescent="0.45">
      <c r="A30" s="10">
        <f>Players!B20</f>
        <v>0</v>
      </c>
      <c r="B30" s="5"/>
      <c r="C30" s="5"/>
      <c r="D30" s="5"/>
      <c r="E30" s="5"/>
      <c r="F30" s="5"/>
      <c r="G30" s="11">
        <f t="shared" si="0"/>
        <v>0</v>
      </c>
      <c r="H30" s="11">
        <f t="shared" si="1"/>
        <v>0</v>
      </c>
      <c r="I30" s="11">
        <f t="shared" si="2"/>
        <v>0</v>
      </c>
    </row>
    <row r="31" spans="1:9" x14ac:dyDescent="0.45">
      <c r="A31" s="10">
        <f>Players!B21</f>
        <v>0</v>
      </c>
      <c r="B31" s="5"/>
      <c r="C31" s="5"/>
      <c r="D31" s="5"/>
      <c r="E31" s="5"/>
      <c r="F31" s="5"/>
      <c r="G31" s="11">
        <f t="shared" si="0"/>
        <v>0</v>
      </c>
      <c r="H31" s="11">
        <f t="shared" si="1"/>
        <v>0</v>
      </c>
      <c r="I31" s="11">
        <f t="shared" si="2"/>
        <v>0</v>
      </c>
    </row>
    <row r="32" spans="1:9" x14ac:dyDescent="0.45">
      <c r="A32" s="10">
        <f>Players!B22</f>
        <v>0</v>
      </c>
      <c r="B32" s="5"/>
      <c r="C32" s="5"/>
      <c r="D32" s="5"/>
      <c r="E32" s="5"/>
      <c r="F32" s="5"/>
      <c r="G32" s="11">
        <f t="shared" si="0"/>
        <v>0</v>
      </c>
      <c r="H32" s="11">
        <f t="shared" si="1"/>
        <v>0</v>
      </c>
      <c r="I32" s="11">
        <f t="shared" si="2"/>
        <v>0</v>
      </c>
    </row>
    <row r="33" spans="1:9" x14ac:dyDescent="0.45">
      <c r="A33" s="10">
        <f>Players!B23</f>
        <v>0</v>
      </c>
      <c r="B33" s="5"/>
      <c r="C33" s="5"/>
      <c r="D33" s="5"/>
      <c r="E33" s="5"/>
      <c r="F33" s="5"/>
      <c r="G33" s="11">
        <f t="shared" si="0"/>
        <v>0</v>
      </c>
      <c r="H33" s="11">
        <f t="shared" si="1"/>
        <v>0</v>
      </c>
      <c r="I33" s="11">
        <f t="shared" si="2"/>
        <v>0</v>
      </c>
    </row>
    <row r="34" spans="1:9" x14ac:dyDescent="0.45">
      <c r="A34" s="10">
        <f>Players!B24</f>
        <v>0</v>
      </c>
      <c r="B34" s="5"/>
      <c r="C34" s="5"/>
      <c r="D34" s="5"/>
      <c r="E34" s="5"/>
      <c r="F34" s="5"/>
      <c r="G34" s="11">
        <f t="shared" si="0"/>
        <v>0</v>
      </c>
      <c r="H34" s="11">
        <f t="shared" si="1"/>
        <v>0</v>
      </c>
      <c r="I34" s="11">
        <f t="shared" si="2"/>
        <v>0</v>
      </c>
    </row>
    <row r="35" spans="1:9" x14ac:dyDescent="0.45">
      <c r="A35" s="10">
        <f>Players!B25</f>
        <v>0</v>
      </c>
      <c r="B35" s="5"/>
      <c r="C35" s="5"/>
      <c r="D35" s="5"/>
      <c r="E35" s="5"/>
      <c r="F35" s="5"/>
      <c r="G35" s="11">
        <f t="shared" si="0"/>
        <v>0</v>
      </c>
      <c r="H35" s="11">
        <f t="shared" si="1"/>
        <v>0</v>
      </c>
      <c r="I35" s="11">
        <f t="shared" si="2"/>
        <v>0</v>
      </c>
    </row>
    <row r="36" spans="1:9" x14ac:dyDescent="0.45">
      <c r="A36" s="10">
        <f>Players!B26</f>
        <v>0</v>
      </c>
      <c r="B36" s="5"/>
      <c r="C36" s="5"/>
      <c r="D36" s="5"/>
      <c r="E36" s="5"/>
      <c r="F36" s="5"/>
      <c r="G36" s="11">
        <f t="shared" si="0"/>
        <v>0</v>
      </c>
      <c r="H36" s="11">
        <f t="shared" si="1"/>
        <v>0</v>
      </c>
      <c r="I36" s="11">
        <f t="shared" si="2"/>
        <v>0</v>
      </c>
    </row>
    <row r="37" spans="1:9" x14ac:dyDescent="0.45">
      <c r="A37" s="10">
        <f>Players!B27</f>
        <v>0</v>
      </c>
      <c r="B37" s="5"/>
      <c r="C37" s="5"/>
      <c r="D37" s="5"/>
      <c r="E37" s="5"/>
      <c r="F37" s="5"/>
      <c r="G37" s="11">
        <f t="shared" si="0"/>
        <v>0</v>
      </c>
      <c r="H37" s="11">
        <f t="shared" si="1"/>
        <v>0</v>
      </c>
      <c r="I37" s="11">
        <f t="shared" si="2"/>
        <v>0</v>
      </c>
    </row>
    <row r="38" spans="1:9" x14ac:dyDescent="0.45">
      <c r="A38" s="10">
        <f>Players!B28</f>
        <v>0</v>
      </c>
      <c r="B38" s="5"/>
      <c r="C38" s="5"/>
      <c r="D38" s="5"/>
      <c r="E38" s="5"/>
      <c r="F38" s="5"/>
      <c r="G38" s="11">
        <f t="shared" si="0"/>
        <v>0</v>
      </c>
      <c r="H38" s="11">
        <f t="shared" si="1"/>
        <v>0</v>
      </c>
      <c r="I38" s="11">
        <f t="shared" si="2"/>
        <v>0</v>
      </c>
    </row>
    <row r="39" spans="1:9" x14ac:dyDescent="0.45">
      <c r="A39" s="10">
        <f>Players!B29</f>
        <v>0</v>
      </c>
      <c r="B39" s="5"/>
      <c r="C39" s="5"/>
      <c r="D39" s="5"/>
      <c r="E39" s="5"/>
      <c r="F39" s="5"/>
      <c r="G39" s="11">
        <f t="shared" si="0"/>
        <v>0</v>
      </c>
      <c r="H39" s="11">
        <f t="shared" si="1"/>
        <v>0</v>
      </c>
      <c r="I39" s="11">
        <f t="shared" si="2"/>
        <v>0</v>
      </c>
    </row>
    <row r="40" spans="1:9" x14ac:dyDescent="0.45">
      <c r="A40" s="10">
        <f>Players!B30</f>
        <v>0</v>
      </c>
      <c r="B40" s="5"/>
      <c r="C40" s="5"/>
      <c r="D40" s="5"/>
      <c r="E40" s="5"/>
      <c r="F40" s="5"/>
      <c r="G40" s="11">
        <f t="shared" si="0"/>
        <v>0</v>
      </c>
      <c r="H40" s="11">
        <f t="shared" si="1"/>
        <v>0</v>
      </c>
      <c r="I40" s="11">
        <f t="shared" si="2"/>
        <v>0</v>
      </c>
    </row>
    <row r="41" spans="1:9" x14ac:dyDescent="0.45">
      <c r="A41" s="10">
        <f>Players!B31</f>
        <v>0</v>
      </c>
      <c r="B41" s="5"/>
      <c r="C41" s="5"/>
      <c r="D41" s="5"/>
      <c r="E41" s="5"/>
      <c r="F41" s="5"/>
      <c r="G41" s="11">
        <f t="shared" si="0"/>
        <v>0</v>
      </c>
      <c r="H41" s="11">
        <f t="shared" si="1"/>
        <v>0</v>
      </c>
      <c r="I41" s="11">
        <f t="shared" si="2"/>
        <v>0</v>
      </c>
    </row>
    <row r="42" spans="1:9" x14ac:dyDescent="0.45">
      <c r="A42" s="10">
        <f>Players!B32</f>
        <v>0</v>
      </c>
      <c r="B42" s="5"/>
      <c r="C42" s="5"/>
      <c r="D42" s="5"/>
      <c r="E42" s="5"/>
      <c r="F42" s="5"/>
      <c r="G42" s="11">
        <f t="shared" si="0"/>
        <v>0</v>
      </c>
      <c r="H42" s="11">
        <f t="shared" si="1"/>
        <v>0</v>
      </c>
      <c r="I42" s="11">
        <f t="shared" si="2"/>
        <v>0</v>
      </c>
    </row>
    <row r="43" spans="1:9" x14ac:dyDescent="0.45">
      <c r="A43" s="10">
        <f>Players!B33</f>
        <v>0</v>
      </c>
      <c r="B43" s="5"/>
      <c r="C43" s="5"/>
      <c r="D43" s="5"/>
      <c r="E43" s="5"/>
      <c r="F43" s="5"/>
      <c r="G43" s="11">
        <f t="shared" si="0"/>
        <v>0</v>
      </c>
      <c r="H43" s="11">
        <f t="shared" si="1"/>
        <v>0</v>
      </c>
      <c r="I43" s="11">
        <f t="shared" si="2"/>
        <v>0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800-000000000000}">
          <x14:formula1>
            <xm:f>Players!$B$2:$B$33</xm:f>
          </x14:formula1>
          <xm:sqref>D2 D3 D4 D5 D6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Setup</vt:lpstr>
      <vt:lpstr>Players</vt:lpstr>
      <vt:lpstr>Rounds</vt:lpstr>
      <vt:lpstr>Transport</vt:lpstr>
      <vt:lpstr>Accommodation</vt:lpstr>
      <vt:lpstr>Merchandise</vt:lpstr>
      <vt:lpstr>Prizes</vt:lpstr>
      <vt:lpstr>Competitions</vt:lpstr>
      <vt:lpstr>Incidentals</vt:lpstr>
      <vt:lpstr>Summary</vt:lpstr>
      <vt:lpstr>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Golfscore Club</dc:creator>
  <dc:title>Golfscore Club — Trip Finance Manager</dc:title>
  <dc:subject>Golf trip cost splitting and payment tracking</dc:subject>
  <dc:description>Free trip finance manager from golfscore.club — splits golf, transport, accommodation, merchandise, prizes and competition costs across a golf trip group, and tracks deposits/payments.</dc:description>
  <cp:lastModifiedBy>Andrew Tinkler</cp:lastModifiedBy>
  <dcterms:created xsi:type="dcterms:W3CDTF">2026-07-08T11:32:19Z</dcterms:created>
  <dcterms:modified xsi:type="dcterms:W3CDTF">2026-07-08T11:40:15Z</dcterms:modified>
</cp:coreProperties>
</file>